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011418\Documents\Transcend\все 16.03.2020\1 НПА діючі\1 Страхування НФУ\семінари для страхових\презентації\"/>
    </mc:Choice>
  </mc:AlternateContent>
  <bookViews>
    <workbookView xWindow="0" yWindow="0" windowWidth="15360" windowHeight="7608" tabRatio="780"/>
  </bookViews>
  <sheets>
    <sheet name="Read me" sheetId="23" r:id="rId1"/>
    <sheet name="Assumptions" sheetId="8" r:id="rId2"/>
    <sheet name="Base" sheetId="6" r:id="rId3"/>
    <sheet name="Expense Shock" sheetId="21" r:id="rId4"/>
    <sheet name="Lapse Shock" sheetId="22" r:id="rId5"/>
  </sheets>
  <definedNames>
    <definedName name="_xlnm.Print_Area" localSheetId="0">'Read me'!$B$1:$M$25</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3" i="6" l="1"/>
  <c r="F86" i="6"/>
  <c r="F57" i="6"/>
  <c r="F39" i="6"/>
  <c r="F30" i="6"/>
  <c r="F11" i="6"/>
  <c r="F8" i="6"/>
  <c r="AB24" i="21" l="1"/>
  <c r="AB22" i="21"/>
  <c r="AB11" i="6"/>
  <c r="AB13" i="6" l="1"/>
  <c r="AB24" i="6"/>
  <c r="E18" i="8" l="1"/>
  <c r="N20" i="8" l="1"/>
  <c r="Y20" i="22" l="1"/>
  <c r="X20" i="22"/>
  <c r="W20" i="22"/>
  <c r="V20" i="22"/>
  <c r="U20" i="22"/>
  <c r="T20" i="22"/>
  <c r="S20" i="22"/>
  <c r="R20" i="22"/>
  <c r="Q20" i="22"/>
  <c r="P20" i="22"/>
  <c r="O20" i="22"/>
  <c r="Y98" i="22" l="1"/>
  <c r="X98" i="22"/>
  <c r="W98" i="22"/>
  <c r="V98" i="22"/>
  <c r="U98" i="22"/>
  <c r="T98" i="22"/>
  <c r="S98" i="22"/>
  <c r="R98" i="22"/>
  <c r="Q98" i="22"/>
  <c r="P98" i="22"/>
  <c r="O98" i="22"/>
  <c r="N98" i="22"/>
  <c r="M98" i="22"/>
  <c r="L98" i="22"/>
  <c r="K98" i="22"/>
  <c r="J98" i="22"/>
  <c r="I98" i="22"/>
  <c r="H98" i="22"/>
  <c r="G98" i="22"/>
  <c r="Y92" i="22"/>
  <c r="X92" i="22"/>
  <c r="W92" i="22"/>
  <c r="V92" i="22"/>
  <c r="U92" i="22"/>
  <c r="T92" i="22"/>
  <c r="S92" i="22"/>
  <c r="R92" i="22"/>
  <c r="Q92" i="22"/>
  <c r="P92" i="22"/>
  <c r="O92" i="22"/>
  <c r="M92" i="22"/>
  <c r="L92" i="22"/>
  <c r="K92" i="22"/>
  <c r="J92" i="22"/>
  <c r="I92" i="22"/>
  <c r="H92" i="22"/>
  <c r="G92" i="22"/>
  <c r="F92" i="22"/>
  <c r="Y88" i="22"/>
  <c r="X88" i="22"/>
  <c r="W88" i="22"/>
  <c r="V88" i="22"/>
  <c r="U88" i="22"/>
  <c r="T88" i="22"/>
  <c r="S88" i="22"/>
  <c r="R88" i="22"/>
  <c r="Q88" i="22"/>
  <c r="P88" i="22"/>
  <c r="O88" i="22"/>
  <c r="N88" i="22"/>
  <c r="M88" i="22"/>
  <c r="L88" i="22"/>
  <c r="K88" i="22"/>
  <c r="J88" i="22"/>
  <c r="I88" i="22"/>
  <c r="H88" i="22"/>
  <c r="G88" i="22"/>
  <c r="F88" i="22"/>
  <c r="Y87" i="22"/>
  <c r="X87" i="22"/>
  <c r="W87" i="22"/>
  <c r="V87" i="22"/>
  <c r="U87" i="22"/>
  <c r="T87" i="22"/>
  <c r="S87" i="22"/>
  <c r="R87" i="22"/>
  <c r="Q87" i="22"/>
  <c r="P87" i="22"/>
  <c r="O87" i="22"/>
  <c r="N87" i="22"/>
  <c r="M87" i="22"/>
  <c r="L87" i="22"/>
  <c r="K87" i="22"/>
  <c r="J87" i="22"/>
  <c r="I87" i="22"/>
  <c r="H87" i="22"/>
  <c r="G87" i="22"/>
  <c r="F86" i="22"/>
  <c r="F36" i="22"/>
  <c r="Y24" i="22"/>
  <c r="X24" i="22"/>
  <c r="W24" i="22"/>
  <c r="V24" i="22"/>
  <c r="U24" i="22"/>
  <c r="T24" i="22"/>
  <c r="S24" i="22"/>
  <c r="R24" i="22"/>
  <c r="Q24" i="22"/>
  <c r="P24" i="22"/>
  <c r="O24" i="22"/>
  <c r="N24" i="22"/>
  <c r="M24" i="22"/>
  <c r="L24" i="22"/>
  <c r="K24" i="22"/>
  <c r="J24" i="22"/>
  <c r="I24" i="22"/>
  <c r="H24" i="22"/>
  <c r="G24" i="22"/>
  <c r="Y22" i="22"/>
  <c r="X22" i="22"/>
  <c r="W22" i="22"/>
  <c r="V22" i="22"/>
  <c r="U22" i="22"/>
  <c r="T22" i="22"/>
  <c r="S22" i="22"/>
  <c r="R22" i="22"/>
  <c r="Q22" i="22"/>
  <c r="P22" i="22"/>
  <c r="O22" i="22"/>
  <c r="N22" i="22"/>
  <c r="M22" i="22"/>
  <c r="L22" i="22"/>
  <c r="K22" i="22"/>
  <c r="J22" i="22"/>
  <c r="I22" i="22"/>
  <c r="H22" i="22"/>
  <c r="G22" i="22"/>
  <c r="F21" i="22"/>
  <c r="N20" i="22"/>
  <c r="M20" i="22"/>
  <c r="L20" i="22"/>
  <c r="K20" i="22"/>
  <c r="J20" i="22"/>
  <c r="I20" i="22"/>
  <c r="H20" i="22"/>
  <c r="G20" i="22"/>
  <c r="H5" i="22"/>
  <c r="I5" i="22" s="1"/>
  <c r="J5" i="22" s="1"/>
  <c r="K5" i="22" s="1"/>
  <c r="L5" i="22" s="1"/>
  <c r="M5" i="22" s="1"/>
  <c r="N5" i="22" s="1"/>
  <c r="O5" i="22" s="1"/>
  <c r="P5" i="22" s="1"/>
  <c r="Q5" i="22" s="1"/>
  <c r="R5" i="22" s="1"/>
  <c r="S5" i="22" s="1"/>
  <c r="T5" i="22" s="1"/>
  <c r="U5" i="22" s="1"/>
  <c r="V5" i="22" s="1"/>
  <c r="W5" i="22" s="1"/>
  <c r="X5" i="22" s="1"/>
  <c r="Y5" i="22" s="1"/>
  <c r="G5" i="22"/>
  <c r="F37" i="22" l="1"/>
  <c r="F38" i="22"/>
  <c r="F39" i="22" s="1"/>
  <c r="G36" i="22" s="1"/>
  <c r="G38" i="22" l="1"/>
  <c r="G37" i="22"/>
  <c r="G39" i="22" l="1"/>
  <c r="H36" i="22" s="1"/>
  <c r="H38" i="22"/>
  <c r="H37" i="22"/>
  <c r="H39" i="22" l="1"/>
  <c r="I36" i="22" s="1"/>
  <c r="I37" i="22"/>
  <c r="I38" i="22"/>
  <c r="I39" i="22" l="1"/>
  <c r="J36" i="22" s="1"/>
  <c r="J38" i="22" l="1"/>
  <c r="J37" i="22"/>
  <c r="J39" i="22" s="1"/>
  <c r="K36" i="22" s="1"/>
  <c r="K38" i="22" l="1"/>
  <c r="K37" i="22"/>
  <c r="K39" i="22" s="1"/>
  <c r="L36" i="22" s="1"/>
  <c r="L38" i="22" l="1"/>
  <c r="L37" i="22"/>
  <c r="L39" i="22" l="1"/>
  <c r="M36" i="22" s="1"/>
  <c r="M37" i="22"/>
  <c r="M38" i="22"/>
  <c r="M39" i="22" l="1"/>
  <c r="N36" i="22" s="1"/>
  <c r="N23" i="22"/>
  <c r="N19" i="22"/>
  <c r="N21" i="22" s="1"/>
  <c r="N38" i="22"/>
  <c r="N25" i="22"/>
  <c r="N116" i="22" s="1"/>
  <c r="N37" i="22"/>
  <c r="N26" i="22" s="1"/>
  <c r="N39" i="22" l="1"/>
  <c r="O36" i="22" s="1"/>
  <c r="O38" i="22"/>
  <c r="O37" i="22"/>
  <c r="O26" i="22" s="1"/>
  <c r="N111" i="22"/>
  <c r="O33" i="22" l="1"/>
  <c r="O71" i="22" s="1"/>
  <c r="O106" i="22"/>
  <c r="O19" i="22"/>
  <c r="O23" i="22"/>
  <c r="O25" i="22"/>
  <c r="O116" i="22" s="1"/>
  <c r="O39" i="22"/>
  <c r="P36" i="22" s="1"/>
  <c r="N112" i="22"/>
  <c r="O111" i="22"/>
  <c r="O56" i="22" l="1"/>
  <c r="O89" i="22" s="1"/>
  <c r="O21" i="22"/>
  <c r="O112" i="22" s="1"/>
  <c r="P25" i="22"/>
  <c r="P116" i="22" s="1"/>
  <c r="P19" i="22"/>
  <c r="P23" i="22"/>
  <c r="N27" i="22"/>
  <c r="P38" i="22"/>
  <c r="P37" i="22"/>
  <c r="P26" i="22" s="1"/>
  <c r="P56" i="22" l="1"/>
  <c r="P89" i="22" s="1"/>
  <c r="P21" i="22"/>
  <c r="P106" i="22"/>
  <c r="P33" i="22"/>
  <c r="P71" i="22" s="1"/>
  <c r="O57" i="22"/>
  <c r="O90" i="22" s="1"/>
  <c r="O107" i="22"/>
  <c r="P39" i="22"/>
  <c r="Q36" i="22" s="1"/>
  <c r="O27" i="22"/>
  <c r="P111" i="22"/>
  <c r="O105" i="22"/>
  <c r="Q25" i="22" l="1"/>
  <c r="Q116" i="22" s="1"/>
  <c r="Q19" i="22"/>
  <c r="Q23" i="22"/>
  <c r="Q38" i="22"/>
  <c r="P107" i="22"/>
  <c r="P57" i="22"/>
  <c r="P90" i="22" s="1"/>
  <c r="P112" i="22"/>
  <c r="Q56" i="22" l="1"/>
  <c r="Q89" i="22" s="1"/>
  <c r="Q21" i="22"/>
  <c r="Q112" i="22" s="1"/>
  <c r="P105" i="22"/>
  <c r="P27" i="22"/>
  <c r="Q107" i="22" l="1"/>
  <c r="Y98" i="21" l="1"/>
  <c r="X98" i="21"/>
  <c r="W98" i="21"/>
  <c r="V98" i="21"/>
  <c r="U98" i="21"/>
  <c r="T98" i="21"/>
  <c r="S98" i="21"/>
  <c r="R98" i="21"/>
  <c r="Q98" i="21"/>
  <c r="P98" i="21"/>
  <c r="O98" i="21"/>
  <c r="N98" i="21"/>
  <c r="M98" i="21"/>
  <c r="L98" i="21"/>
  <c r="K98" i="21"/>
  <c r="J98" i="21"/>
  <c r="I98" i="21"/>
  <c r="H98" i="21"/>
  <c r="G98" i="21"/>
  <c r="Y92" i="21"/>
  <c r="X92" i="21"/>
  <c r="W92" i="21"/>
  <c r="V92" i="21"/>
  <c r="U92" i="21"/>
  <c r="T92" i="21"/>
  <c r="S92" i="21"/>
  <c r="R92" i="21"/>
  <c r="Q92" i="21"/>
  <c r="P92" i="21"/>
  <c r="O92" i="21"/>
  <c r="N92" i="21"/>
  <c r="M92" i="21"/>
  <c r="L92" i="21"/>
  <c r="K92" i="21"/>
  <c r="J92" i="21"/>
  <c r="I92" i="21"/>
  <c r="H92" i="21"/>
  <c r="G92" i="21"/>
  <c r="F92" i="21"/>
  <c r="Y88" i="21"/>
  <c r="X88" i="21"/>
  <c r="W88" i="21"/>
  <c r="V88" i="21"/>
  <c r="U88" i="21"/>
  <c r="T88" i="21"/>
  <c r="S88" i="21"/>
  <c r="R88" i="21"/>
  <c r="Q88" i="21"/>
  <c r="P88" i="21"/>
  <c r="O88" i="21"/>
  <c r="N88" i="21"/>
  <c r="M88" i="21"/>
  <c r="L88" i="21"/>
  <c r="K88" i="21"/>
  <c r="I88" i="21"/>
  <c r="H88" i="21"/>
  <c r="G88" i="21"/>
  <c r="F88" i="21"/>
  <c r="Y87" i="21"/>
  <c r="X87" i="21"/>
  <c r="W87" i="21"/>
  <c r="V87" i="21"/>
  <c r="U87" i="21"/>
  <c r="T87" i="21"/>
  <c r="S87" i="21"/>
  <c r="R87" i="21"/>
  <c r="Q87" i="21"/>
  <c r="P87" i="21"/>
  <c r="O87" i="21"/>
  <c r="N87" i="21"/>
  <c r="M87" i="21"/>
  <c r="L87" i="21"/>
  <c r="K87" i="21"/>
  <c r="J87" i="21"/>
  <c r="I87" i="21"/>
  <c r="H87" i="21"/>
  <c r="G87" i="21"/>
  <c r="F86" i="21"/>
  <c r="F36" i="21"/>
  <c r="F13" i="21" s="1"/>
  <c r="F24" i="21" s="1"/>
  <c r="Y24" i="21"/>
  <c r="X24" i="21"/>
  <c r="W24" i="21"/>
  <c r="V24" i="21"/>
  <c r="U24" i="21"/>
  <c r="T24" i="21"/>
  <c r="S24" i="21"/>
  <c r="R24" i="21"/>
  <c r="Q24" i="21"/>
  <c r="P24" i="21"/>
  <c r="O24" i="21"/>
  <c r="N24" i="21"/>
  <c r="M24" i="21"/>
  <c r="L24" i="21"/>
  <c r="K24" i="21"/>
  <c r="J24" i="21"/>
  <c r="I24" i="21"/>
  <c r="H24" i="21"/>
  <c r="G24" i="21"/>
  <c r="Y22" i="21"/>
  <c r="X22" i="21"/>
  <c r="W22" i="21"/>
  <c r="V22" i="21"/>
  <c r="U22" i="21"/>
  <c r="T22" i="21"/>
  <c r="S22" i="21"/>
  <c r="R22" i="21"/>
  <c r="Q22" i="21"/>
  <c r="P22" i="21"/>
  <c r="O22" i="21"/>
  <c r="N22" i="21"/>
  <c r="M22" i="21"/>
  <c r="L22" i="21"/>
  <c r="K22" i="21"/>
  <c r="J22" i="21"/>
  <c r="I22" i="21"/>
  <c r="H22" i="21"/>
  <c r="G22" i="21"/>
  <c r="F21" i="21"/>
  <c r="Y20" i="21"/>
  <c r="X20" i="21"/>
  <c r="W20" i="21"/>
  <c r="V20" i="21"/>
  <c r="U20" i="21"/>
  <c r="T20" i="21"/>
  <c r="S20" i="21"/>
  <c r="R20" i="21"/>
  <c r="Q20" i="21"/>
  <c r="P20" i="21"/>
  <c r="O20" i="21"/>
  <c r="N20" i="21"/>
  <c r="M20" i="21"/>
  <c r="L20" i="21"/>
  <c r="K20" i="21"/>
  <c r="J20" i="21"/>
  <c r="I20" i="21"/>
  <c r="H20" i="21"/>
  <c r="G20" i="21"/>
  <c r="F14" i="21"/>
  <c r="F25" i="21" s="1"/>
  <c r="F8" i="21"/>
  <c r="F56" i="21" s="1"/>
  <c r="F89" i="21" s="1"/>
  <c r="G5" i="21"/>
  <c r="H5" i="21" s="1"/>
  <c r="I5" i="21" s="1"/>
  <c r="J5" i="21" s="1"/>
  <c r="K5" i="21" s="1"/>
  <c r="L5" i="21" s="1"/>
  <c r="M5" i="21" s="1"/>
  <c r="N5" i="21" s="1"/>
  <c r="O5" i="21" s="1"/>
  <c r="P5" i="21" s="1"/>
  <c r="Q5" i="21" s="1"/>
  <c r="R5" i="21" s="1"/>
  <c r="S5" i="21" s="1"/>
  <c r="T5" i="21" s="1"/>
  <c r="U5" i="21" s="1"/>
  <c r="V5" i="21" s="1"/>
  <c r="W5" i="21" s="1"/>
  <c r="X5" i="21" s="1"/>
  <c r="Y5" i="21" s="1"/>
  <c r="F11" i="21" l="1"/>
  <c r="F22" i="21" s="1"/>
  <c r="F12" i="21"/>
  <c r="F23" i="21" s="1"/>
  <c r="F116" i="21"/>
  <c r="F9" i="21"/>
  <c r="F19" i="21"/>
  <c r="F37" i="21"/>
  <c r="F15" i="21" s="1"/>
  <c r="F38" i="21"/>
  <c r="F107" i="21" l="1"/>
  <c r="F112" i="21"/>
  <c r="F98" i="21"/>
  <c r="F57" i="21"/>
  <c r="F90" i="21" s="1"/>
  <c r="F20" i="21"/>
  <c r="AB20" i="21" s="1"/>
  <c r="E46" i="21"/>
  <c r="F106" i="21"/>
  <c r="F30" i="21"/>
  <c r="F26" i="21"/>
  <c r="F16" i="21"/>
  <c r="F39" i="21"/>
  <c r="G36" i="21" s="1"/>
  <c r="F99" i="21" l="1"/>
  <c r="G14" i="21"/>
  <c r="G25" i="21" s="1"/>
  <c r="G37" i="21"/>
  <c r="G15" i="21" s="1"/>
  <c r="G12" i="21"/>
  <c r="G38" i="21"/>
  <c r="G8" i="21"/>
  <c r="G56" i="21" s="1"/>
  <c r="F111" i="21"/>
  <c r="F71" i="21"/>
  <c r="F33" i="21"/>
  <c r="F27" i="21"/>
  <c r="G39" i="21" l="1"/>
  <c r="H36" i="21" s="1"/>
  <c r="H23" i="21" s="1"/>
  <c r="H14" i="21"/>
  <c r="H25" i="21" s="1"/>
  <c r="H116" i="21" s="1"/>
  <c r="G89" i="21"/>
  <c r="G19" i="21"/>
  <c r="G10" i="21"/>
  <c r="G16" i="21" s="1"/>
  <c r="G116" i="21"/>
  <c r="F105" i="21"/>
  <c r="G23" i="21"/>
  <c r="G106" i="21"/>
  <c r="G26" i="21"/>
  <c r="G30" i="21"/>
  <c r="H12" i="21" l="1"/>
  <c r="H37" i="21"/>
  <c r="H15" i="21" s="1"/>
  <c r="H106" i="21" s="1"/>
  <c r="H8" i="21"/>
  <c r="H56" i="21" s="1"/>
  <c r="H89" i="21" s="1"/>
  <c r="H38" i="21"/>
  <c r="H39" i="21" s="1"/>
  <c r="I36" i="21" s="1"/>
  <c r="I38" i="21" s="1"/>
  <c r="G71" i="21"/>
  <c r="G33" i="21"/>
  <c r="G111" i="21"/>
  <c r="G107" i="21"/>
  <c r="G57" i="21"/>
  <c r="G90" i="21" s="1"/>
  <c r="G21" i="21"/>
  <c r="G27" i="21" s="1"/>
  <c r="H26" i="21"/>
  <c r="H111" i="21" s="1"/>
  <c r="H30" i="21"/>
  <c r="H10" i="21" l="1"/>
  <c r="H16" i="21" s="1"/>
  <c r="H19" i="21"/>
  <c r="I23" i="21"/>
  <c r="I37" i="21"/>
  <c r="I15" i="21" s="1"/>
  <c r="I14" i="21"/>
  <c r="I25" i="21" s="1"/>
  <c r="I116" i="21" s="1"/>
  <c r="I8" i="21"/>
  <c r="I56" i="21" s="1"/>
  <c r="I89" i="21" s="1"/>
  <c r="I12" i="21"/>
  <c r="H57" i="21"/>
  <c r="H90" i="21" s="1"/>
  <c r="G105" i="21"/>
  <c r="H71" i="21"/>
  <c r="H33" i="21"/>
  <c r="G112" i="21"/>
  <c r="I106" i="21"/>
  <c r="I26" i="21"/>
  <c r="I111" i="21" s="1"/>
  <c r="I30" i="21"/>
  <c r="H107" i="21" l="1"/>
  <c r="H21" i="21"/>
  <c r="H112" i="21" s="1"/>
  <c r="I19" i="21"/>
  <c r="I10" i="21"/>
  <c r="I16" i="21" s="1"/>
  <c r="I39" i="21"/>
  <c r="J36" i="21" s="1"/>
  <c r="H105" i="21"/>
  <c r="H27" i="21"/>
  <c r="I71" i="21"/>
  <c r="I33" i="21"/>
  <c r="I107" i="21" l="1"/>
  <c r="I57" i="21"/>
  <c r="I90" i="21" s="1"/>
  <c r="I21" i="21"/>
  <c r="I112" i="21" s="1"/>
  <c r="J37" i="21"/>
  <c r="J15" i="21" s="1"/>
  <c r="J14" i="21"/>
  <c r="J25" i="21" s="1"/>
  <c r="J116" i="21" s="1"/>
  <c r="J23" i="21"/>
  <c r="J8" i="21"/>
  <c r="J38" i="21"/>
  <c r="J39" i="21" s="1"/>
  <c r="K36" i="21" s="1"/>
  <c r="J12" i="21"/>
  <c r="I105" i="21"/>
  <c r="I27" i="21" l="1"/>
  <c r="K23" i="21"/>
  <c r="K37" i="21"/>
  <c r="K15" i="21" s="1"/>
  <c r="K12" i="21"/>
  <c r="K14" i="21"/>
  <c r="K25" i="21" s="1"/>
  <c r="K116" i="21" s="1"/>
  <c r="K8" i="21"/>
  <c r="K38" i="21"/>
  <c r="K39" i="21" s="1"/>
  <c r="L36" i="21" s="1"/>
  <c r="J56" i="21"/>
  <c r="J89" i="21" s="1"/>
  <c r="J10" i="21"/>
  <c r="J19" i="21"/>
  <c r="J106" i="21"/>
  <c r="J30" i="21"/>
  <c r="J26" i="21"/>
  <c r="J111" i="21" s="1"/>
  <c r="L23" i="21" l="1"/>
  <c r="L38" i="21"/>
  <c r="L37" i="21"/>
  <c r="L15" i="21" s="1"/>
  <c r="L12" i="21"/>
  <c r="L14" i="21"/>
  <c r="L25" i="21" s="1"/>
  <c r="L116" i="21" s="1"/>
  <c r="L8" i="21"/>
  <c r="L39" i="21"/>
  <c r="M36" i="21" s="1"/>
  <c r="J33" i="21"/>
  <c r="J71" i="21"/>
  <c r="J105" i="21" s="1"/>
  <c r="K26" i="21"/>
  <c r="K111" i="21" s="1"/>
  <c r="K106" i="21"/>
  <c r="K30" i="21"/>
  <c r="J16" i="21"/>
  <c r="J21" i="21"/>
  <c r="J57" i="21"/>
  <c r="J90" i="21" s="1"/>
  <c r="J107" i="21"/>
  <c r="K19" i="21"/>
  <c r="K10" i="21"/>
  <c r="K56" i="21"/>
  <c r="K89" i="21" s="1"/>
  <c r="K71" i="21" l="1"/>
  <c r="K105" i="21" s="1"/>
  <c r="K33" i="21"/>
  <c r="K16" i="21"/>
  <c r="K21" i="21"/>
  <c r="K107" i="21"/>
  <c r="K57" i="21"/>
  <c r="K90" i="21" s="1"/>
  <c r="J27" i="21"/>
  <c r="J112" i="21"/>
  <c r="M37" i="21"/>
  <c r="M12" i="21"/>
  <c r="M8" i="21"/>
  <c r="M23" i="21"/>
  <c r="M38" i="21"/>
  <c r="M14" i="21"/>
  <c r="M25" i="21" s="1"/>
  <c r="M116" i="21" s="1"/>
  <c r="L106" i="21"/>
  <c r="L26" i="21"/>
  <c r="L111" i="21" s="1"/>
  <c r="L30" i="21"/>
  <c r="L56" i="21"/>
  <c r="L89" i="21" s="1"/>
  <c r="L19" i="21"/>
  <c r="L10" i="21"/>
  <c r="L16" i="21" s="1"/>
  <c r="K112" i="21" l="1"/>
  <c r="K27" i="21"/>
  <c r="M19" i="21"/>
  <c r="M56" i="21"/>
  <c r="M89" i="21" s="1"/>
  <c r="M10" i="21"/>
  <c r="L107" i="21"/>
  <c r="L21" i="21"/>
  <c r="L112" i="21" s="1"/>
  <c r="L57" i="21"/>
  <c r="L90" i="21" s="1"/>
  <c r="L71" i="21"/>
  <c r="L105" i="21" s="1"/>
  <c r="L33" i="21"/>
  <c r="M15" i="21"/>
  <c r="M39" i="21"/>
  <c r="N36" i="21" s="1"/>
  <c r="M30" i="21" l="1"/>
  <c r="M26" i="21"/>
  <c r="M111" i="21" s="1"/>
  <c r="M106" i="21"/>
  <c r="M21" i="21"/>
  <c r="M112" i="21" s="1"/>
  <c r="M16" i="21"/>
  <c r="M107" i="21"/>
  <c r="M57" i="21"/>
  <c r="M90" i="21" s="1"/>
  <c r="N38" i="21"/>
  <c r="N37" i="21"/>
  <c r="N12" i="21"/>
  <c r="N14" i="21"/>
  <c r="N25" i="21" s="1"/>
  <c r="N116" i="21" s="1"/>
  <c r="N23" i="21"/>
  <c r="N8" i="21"/>
  <c r="L27" i="21"/>
  <c r="N19" i="21" l="1"/>
  <c r="N56" i="21"/>
  <c r="N89" i="21" s="1"/>
  <c r="N10" i="21"/>
  <c r="N15" i="21"/>
  <c r="N39" i="21"/>
  <c r="O36" i="21" s="1"/>
  <c r="M33" i="21"/>
  <c r="M71" i="21"/>
  <c r="M105" i="21" s="1"/>
  <c r="M27" i="21"/>
  <c r="N107" i="21" l="1"/>
  <c r="N57" i="21"/>
  <c r="N90" i="21" s="1"/>
  <c r="N21" i="21"/>
  <c r="O38" i="21"/>
  <c r="O39" i="21" s="1"/>
  <c r="P36" i="21" s="1"/>
  <c r="O37" i="21"/>
  <c r="O15" i="21" s="1"/>
  <c r="O12" i="21"/>
  <c r="O23" i="21"/>
  <c r="O8" i="21"/>
  <c r="O14" i="21"/>
  <c r="O25" i="21" s="1"/>
  <c r="O116" i="21" s="1"/>
  <c r="N26" i="21"/>
  <c r="N111" i="21" s="1"/>
  <c r="N106" i="21"/>
  <c r="N30" i="21"/>
  <c r="N16" i="21"/>
  <c r="P14" i="21" l="1"/>
  <c r="P25" i="21" s="1"/>
  <c r="P38" i="21"/>
  <c r="P8" i="21"/>
  <c r="P56" i="21" s="1"/>
  <c r="P89" i="21" s="1"/>
  <c r="P37" i="21"/>
  <c r="P15" i="21" s="1"/>
  <c r="P106" i="21" s="1"/>
  <c r="P12" i="21"/>
  <c r="P23" i="21"/>
  <c r="O56" i="21"/>
  <c r="O89" i="21" s="1"/>
  <c r="O19" i="21"/>
  <c r="O10" i="21"/>
  <c r="N112" i="21"/>
  <c r="N27" i="21"/>
  <c r="N71" i="21"/>
  <c r="N105" i="21" s="1"/>
  <c r="N33" i="21"/>
  <c r="O30" i="21"/>
  <c r="O26" i="21"/>
  <c r="O111" i="21" s="1"/>
  <c r="O106" i="21"/>
  <c r="P116" i="21" l="1"/>
  <c r="P30" i="21"/>
  <c r="P33" i="21" s="1"/>
  <c r="P19" i="21"/>
  <c r="P10" i="21"/>
  <c r="P16" i="21" s="1"/>
  <c r="P26" i="21"/>
  <c r="O71" i="21"/>
  <c r="O105" i="21" s="1"/>
  <c r="O33" i="21"/>
  <c r="P39" i="21"/>
  <c r="Q36" i="21" s="1"/>
  <c r="Q8" i="21" s="1"/>
  <c r="O21" i="21"/>
  <c r="O112" i="21" s="1"/>
  <c r="O107" i="21"/>
  <c r="O57" i="21"/>
  <c r="O90" i="21" s="1"/>
  <c r="O16" i="21"/>
  <c r="P71" i="21"/>
  <c r="Q23" i="21" l="1"/>
  <c r="P111" i="21"/>
  <c r="Q14" i="21"/>
  <c r="Q25" i="21" s="1"/>
  <c r="Q38" i="21"/>
  <c r="Q12" i="21"/>
  <c r="P21" i="21"/>
  <c r="P27" i="21" s="1"/>
  <c r="P57" i="21"/>
  <c r="P90" i="21" s="1"/>
  <c r="P107" i="21"/>
  <c r="O27" i="21"/>
  <c r="P105" i="21"/>
  <c r="Q56" i="21"/>
  <c r="Q89" i="21" s="1"/>
  <c r="Q10" i="21"/>
  <c r="Q19" i="21"/>
  <c r="Q116" i="21" l="1"/>
  <c r="P112" i="21"/>
  <c r="Q107" i="21"/>
  <c r="Q21" i="21"/>
  <c r="Q112" i="21" s="1"/>
  <c r="Y98" i="6" l="1"/>
  <c r="X98" i="6"/>
  <c r="W98" i="6"/>
  <c r="V98" i="6"/>
  <c r="U98" i="6"/>
  <c r="T98" i="6"/>
  <c r="S98" i="6"/>
  <c r="R98" i="6"/>
  <c r="Q98" i="6"/>
  <c r="P98" i="6"/>
  <c r="O98" i="6"/>
  <c r="N98" i="6"/>
  <c r="M98" i="6"/>
  <c r="L98" i="6"/>
  <c r="K98" i="6"/>
  <c r="J98" i="6"/>
  <c r="I98" i="6"/>
  <c r="H98" i="6"/>
  <c r="G98" i="6"/>
  <c r="Y92" i="6"/>
  <c r="X92" i="6"/>
  <c r="W92" i="6"/>
  <c r="V92" i="6"/>
  <c r="U92" i="6"/>
  <c r="T92" i="6"/>
  <c r="S92" i="6"/>
  <c r="R92" i="6"/>
  <c r="Q92" i="6"/>
  <c r="P92" i="6"/>
  <c r="O92" i="6"/>
  <c r="N92" i="6"/>
  <c r="M92" i="6"/>
  <c r="L92" i="6"/>
  <c r="K92" i="6"/>
  <c r="J92" i="6"/>
  <c r="I92" i="6"/>
  <c r="H92" i="6"/>
  <c r="G92" i="6"/>
  <c r="F92" i="6"/>
  <c r="Y88" i="6"/>
  <c r="X88" i="6"/>
  <c r="W88" i="6"/>
  <c r="V88" i="6"/>
  <c r="U88" i="6"/>
  <c r="T88" i="6"/>
  <c r="S88" i="6"/>
  <c r="R88" i="6"/>
  <c r="Q88" i="6"/>
  <c r="P88" i="6"/>
  <c r="O88" i="6"/>
  <c r="N88" i="6"/>
  <c r="M88" i="6"/>
  <c r="L88" i="6"/>
  <c r="K88" i="6"/>
  <c r="J88" i="6"/>
  <c r="I88" i="6"/>
  <c r="H88" i="6"/>
  <c r="G88" i="6"/>
  <c r="F88" i="6"/>
  <c r="Y87" i="6"/>
  <c r="X87" i="6"/>
  <c r="W87" i="6"/>
  <c r="V87" i="6"/>
  <c r="U87" i="6"/>
  <c r="T87" i="6"/>
  <c r="S87" i="6"/>
  <c r="R87" i="6"/>
  <c r="Q87" i="6"/>
  <c r="P87" i="6"/>
  <c r="O87" i="6"/>
  <c r="N87" i="6"/>
  <c r="M87" i="6"/>
  <c r="L87" i="6"/>
  <c r="K87" i="6"/>
  <c r="J87" i="6"/>
  <c r="I87" i="6"/>
  <c r="H87" i="6"/>
  <c r="G87" i="6"/>
  <c r="F18" i="8" l="1"/>
  <c r="G18" i="8"/>
  <c r="H18" i="8"/>
  <c r="I18" i="8"/>
  <c r="J18" i="8"/>
  <c r="K18" i="8"/>
  <c r="L18" i="8"/>
  <c r="M18" i="8"/>
  <c r="N18" i="8"/>
  <c r="O18" i="8"/>
  <c r="P18" i="8"/>
  <c r="Q18" i="8"/>
  <c r="R18" i="8"/>
  <c r="S18" i="8"/>
  <c r="T18" i="8"/>
  <c r="U18" i="8"/>
  <c r="V18" i="8"/>
  <c r="W18" i="8"/>
  <c r="D18" i="8"/>
  <c r="W20" i="8" l="1"/>
  <c r="V20" i="8"/>
  <c r="U20" i="8"/>
  <c r="T20" i="8"/>
  <c r="S20" i="8"/>
  <c r="R20" i="8"/>
  <c r="Q20" i="8"/>
  <c r="P20" i="8"/>
  <c r="O20" i="8"/>
  <c r="Q37" i="22" l="1"/>
  <c r="Q37" i="21"/>
  <c r="G20" i="6"/>
  <c r="H20" i="6"/>
  <c r="I20" i="6"/>
  <c r="J20" i="6"/>
  <c r="K20" i="6"/>
  <c r="L20" i="6"/>
  <c r="M20" i="6"/>
  <c r="N20" i="6"/>
  <c r="O20" i="6"/>
  <c r="P20" i="6"/>
  <c r="Q20" i="6"/>
  <c r="R20" i="6"/>
  <c r="S20" i="6"/>
  <c r="T20" i="6"/>
  <c r="U20" i="6"/>
  <c r="V20" i="6"/>
  <c r="W20" i="6"/>
  <c r="X20" i="6"/>
  <c r="Y20" i="6"/>
  <c r="G22" i="6"/>
  <c r="H22" i="6"/>
  <c r="I22" i="6"/>
  <c r="J22" i="6"/>
  <c r="K22" i="6"/>
  <c r="L22" i="6"/>
  <c r="M22" i="6"/>
  <c r="N22" i="6"/>
  <c r="O22" i="6"/>
  <c r="P22" i="6"/>
  <c r="Q22" i="6"/>
  <c r="R22" i="6"/>
  <c r="S22" i="6"/>
  <c r="T22" i="6"/>
  <c r="U22" i="6"/>
  <c r="V22" i="6"/>
  <c r="W22" i="6"/>
  <c r="X22" i="6"/>
  <c r="Y22" i="6"/>
  <c r="G24" i="6"/>
  <c r="H24" i="6"/>
  <c r="I24" i="6"/>
  <c r="J24" i="6"/>
  <c r="K24" i="6"/>
  <c r="L24" i="6"/>
  <c r="M24" i="6"/>
  <c r="N24" i="6"/>
  <c r="O24" i="6"/>
  <c r="P24" i="6"/>
  <c r="Q24" i="6"/>
  <c r="R24" i="6"/>
  <c r="S24" i="6"/>
  <c r="T24" i="6"/>
  <c r="U24" i="6"/>
  <c r="V24" i="6"/>
  <c r="W24" i="6"/>
  <c r="X24" i="6"/>
  <c r="Y24" i="6"/>
  <c r="F21" i="6"/>
  <c r="Q15" i="21" l="1"/>
  <c r="Q39" i="21"/>
  <c r="R36" i="21" s="1"/>
  <c r="Q26" i="22"/>
  <c r="Q39" i="22"/>
  <c r="R36" i="22" s="1"/>
  <c r="F36" i="6"/>
  <c r="F56" i="6" s="1"/>
  <c r="R19" i="22" l="1"/>
  <c r="R23" i="22"/>
  <c r="R25" i="22"/>
  <c r="R116" i="22" s="1"/>
  <c r="R37" i="22"/>
  <c r="R26" i="22" s="1"/>
  <c r="R38" i="22"/>
  <c r="R14" i="21"/>
  <c r="R25" i="21" s="1"/>
  <c r="R23" i="21"/>
  <c r="R37" i="21"/>
  <c r="R15" i="21" s="1"/>
  <c r="R8" i="21"/>
  <c r="R12" i="21"/>
  <c r="R38" i="21"/>
  <c r="Q106" i="22"/>
  <c r="Q33" i="22"/>
  <c r="Q71" i="22" s="1"/>
  <c r="Q105" i="22" s="1"/>
  <c r="Q111" i="22"/>
  <c r="Q57" i="22"/>
  <c r="Q90" i="22" s="1"/>
  <c r="Q27" i="22"/>
  <c r="Q26" i="21"/>
  <c r="Q106" i="21"/>
  <c r="Q16" i="21"/>
  <c r="Q30" i="21"/>
  <c r="Q57" i="21"/>
  <c r="Q90" i="21" s="1"/>
  <c r="F14" i="6"/>
  <c r="F13" i="6"/>
  <c r="F12" i="6"/>
  <c r="F12" i="22"/>
  <c r="F8" i="22"/>
  <c r="F14" i="22"/>
  <c r="F25" i="22" s="1"/>
  <c r="F11" i="22"/>
  <c r="F22" i="22" s="1"/>
  <c r="AB22" i="22" s="1"/>
  <c r="F13" i="22"/>
  <c r="F24" i="22" s="1"/>
  <c r="F38" i="6"/>
  <c r="F37" i="6"/>
  <c r="R39" i="21" l="1"/>
  <c r="S36" i="21" s="1"/>
  <c r="S14" i="21"/>
  <c r="S25" i="21" s="1"/>
  <c r="S116" i="21" s="1"/>
  <c r="S8" i="21"/>
  <c r="S38" i="21"/>
  <c r="S12" i="21"/>
  <c r="S37" i="21"/>
  <c r="S15" i="21" s="1"/>
  <c r="S23" i="21"/>
  <c r="Q33" i="21"/>
  <c r="Q71" i="21"/>
  <c r="R56" i="21"/>
  <c r="R89" i="21" s="1"/>
  <c r="R19" i="21"/>
  <c r="R10" i="21"/>
  <c r="R116" i="21"/>
  <c r="R56" i="22"/>
  <c r="R89" i="22" s="1"/>
  <c r="R21" i="22"/>
  <c r="R27" i="22" s="1"/>
  <c r="R33" i="22"/>
  <c r="R71" i="22" s="1"/>
  <c r="R105" i="22" s="1"/>
  <c r="R106" i="22"/>
  <c r="R111" i="22"/>
  <c r="R106" i="21"/>
  <c r="R30" i="21"/>
  <c r="R26" i="21"/>
  <c r="R111" i="21" s="1"/>
  <c r="Q111" i="21"/>
  <c r="Q27" i="21"/>
  <c r="R39" i="22"/>
  <c r="S36" i="22" s="1"/>
  <c r="F23" i="22"/>
  <c r="F107" i="22"/>
  <c r="F15" i="6"/>
  <c r="F15" i="22"/>
  <c r="F9" i="6"/>
  <c r="F116" i="22"/>
  <c r="AB24" i="22"/>
  <c r="F19" i="22"/>
  <c r="F9" i="22"/>
  <c r="F16" i="22" s="1"/>
  <c r="F56" i="22"/>
  <c r="F89" i="22" s="1"/>
  <c r="F89" i="6"/>
  <c r="F25" i="6"/>
  <c r="F108" i="6"/>
  <c r="F19" i="6"/>
  <c r="G36" i="6"/>
  <c r="G8" i="6" s="1"/>
  <c r="G56" i="6" s="1"/>
  <c r="F24" i="6"/>
  <c r="F22" i="6"/>
  <c r="AB22" i="6" s="1"/>
  <c r="F23" i="6"/>
  <c r="E5" i="8"/>
  <c r="F5" i="8" s="1"/>
  <c r="G5" i="8" s="1"/>
  <c r="H5" i="8" s="1"/>
  <c r="I5" i="8" s="1"/>
  <c r="J5" i="8" s="1"/>
  <c r="K5" i="8" s="1"/>
  <c r="L5" i="8" s="1"/>
  <c r="M5" i="8" s="1"/>
  <c r="N5" i="8" s="1"/>
  <c r="O5" i="8" s="1"/>
  <c r="P5" i="8" s="1"/>
  <c r="Q5" i="8" s="1"/>
  <c r="R5" i="8" s="1"/>
  <c r="S5" i="8" s="1"/>
  <c r="T5" i="8" s="1"/>
  <c r="U5" i="8" s="1"/>
  <c r="V5" i="8" s="1"/>
  <c r="W5" i="8" s="1"/>
  <c r="G5" i="6"/>
  <c r="H5" i="6" s="1"/>
  <c r="I5" i="6" s="1"/>
  <c r="J5" i="6" s="1"/>
  <c r="K5" i="6" s="1"/>
  <c r="L5" i="6" s="1"/>
  <c r="M5" i="6" s="1"/>
  <c r="N5" i="6" s="1"/>
  <c r="O5" i="6" s="1"/>
  <c r="P5" i="6" s="1"/>
  <c r="Q5" i="6" s="1"/>
  <c r="R5" i="6" s="1"/>
  <c r="S5" i="6" s="1"/>
  <c r="T5" i="6" s="1"/>
  <c r="U5" i="6" s="1"/>
  <c r="V5" i="6" s="1"/>
  <c r="W5" i="6" s="1"/>
  <c r="X5" i="6" s="1"/>
  <c r="Y5" i="6" s="1"/>
  <c r="E46" i="6" l="1"/>
  <c r="AB9" i="6"/>
  <c r="F117" i="6"/>
  <c r="S39" i="21"/>
  <c r="T36" i="21" s="1"/>
  <c r="T37" i="21" s="1"/>
  <c r="S19" i="22"/>
  <c r="S23" i="22"/>
  <c r="S25" i="22"/>
  <c r="S116" i="22" s="1"/>
  <c r="S38" i="22"/>
  <c r="S37" i="22"/>
  <c r="S26" i="22" s="1"/>
  <c r="T12" i="21"/>
  <c r="T14" i="21"/>
  <c r="T25" i="21" s="1"/>
  <c r="T23" i="21"/>
  <c r="F107" i="6"/>
  <c r="R71" i="21"/>
  <c r="R33" i="21"/>
  <c r="R57" i="22"/>
  <c r="R90" i="22" s="1"/>
  <c r="R107" i="22"/>
  <c r="R112" i="22"/>
  <c r="S19" i="21"/>
  <c r="S10" i="21"/>
  <c r="S16" i="21" s="1"/>
  <c r="S56" i="21"/>
  <c r="S89" i="21" s="1"/>
  <c r="R16" i="21"/>
  <c r="R107" i="21"/>
  <c r="R21" i="21"/>
  <c r="R57" i="21"/>
  <c r="R90" i="21" s="1"/>
  <c r="Q105" i="21"/>
  <c r="S30" i="21"/>
  <c r="S26" i="21"/>
  <c r="S106" i="21"/>
  <c r="F98" i="6"/>
  <c r="F99" i="6" s="1"/>
  <c r="F90" i="6"/>
  <c r="E46" i="22"/>
  <c r="F98" i="22"/>
  <c r="F20" i="22"/>
  <c r="AB20" i="22" s="1"/>
  <c r="F57" i="22"/>
  <c r="F90" i="22" s="1"/>
  <c r="G14" i="6"/>
  <c r="G12" i="6"/>
  <c r="G8" i="22"/>
  <c r="G14" i="22"/>
  <c r="G25" i="22" s="1"/>
  <c r="G12" i="22"/>
  <c r="F106" i="22"/>
  <c r="F30" i="22"/>
  <c r="F26" i="22"/>
  <c r="F71" i="6"/>
  <c r="F106" i="6" s="1"/>
  <c r="F16" i="6"/>
  <c r="F112" i="22"/>
  <c r="F20" i="6"/>
  <c r="AB20" i="6" s="1"/>
  <c r="G37" i="6"/>
  <c r="G38" i="6"/>
  <c r="F33" i="6"/>
  <c r="F26" i="6"/>
  <c r="F112" i="6" s="1"/>
  <c r="T38" i="21" l="1"/>
  <c r="T8" i="21"/>
  <c r="T19" i="21" s="1"/>
  <c r="T15" i="21"/>
  <c r="T39" i="21"/>
  <c r="U36" i="21" s="1"/>
  <c r="U14" i="21" s="1"/>
  <c r="U25" i="21" s="1"/>
  <c r="U116" i="21" s="1"/>
  <c r="U38" i="21"/>
  <c r="S39" i="22"/>
  <c r="T36" i="22" s="1"/>
  <c r="S111" i="21"/>
  <c r="R105" i="21"/>
  <c r="T116" i="21"/>
  <c r="S106" i="22"/>
  <c r="S33" i="22"/>
  <c r="S71" i="22" s="1"/>
  <c r="S105" i="22" s="1"/>
  <c r="S111" i="22"/>
  <c r="S56" i="22"/>
  <c r="S89" i="22" s="1"/>
  <c r="S21" i="22"/>
  <c r="S71" i="21"/>
  <c r="S33" i="21"/>
  <c r="S107" i="21"/>
  <c r="S57" i="21"/>
  <c r="S90" i="21" s="1"/>
  <c r="S21" i="21"/>
  <c r="S112" i="21" s="1"/>
  <c r="R112" i="21"/>
  <c r="T106" i="21"/>
  <c r="T26" i="21"/>
  <c r="T111" i="21" s="1"/>
  <c r="T30" i="21"/>
  <c r="R27" i="21"/>
  <c r="G10" i="6"/>
  <c r="G108" i="6" s="1"/>
  <c r="F111" i="22"/>
  <c r="F71" i="22"/>
  <c r="F33" i="22"/>
  <c r="F27" i="22"/>
  <c r="G15" i="6"/>
  <c r="G15" i="22"/>
  <c r="G19" i="6"/>
  <c r="G23" i="22"/>
  <c r="G116" i="22"/>
  <c r="F99" i="22"/>
  <c r="G56" i="22"/>
  <c r="G89" i="22" s="1"/>
  <c r="G10" i="22"/>
  <c r="G19" i="22"/>
  <c r="G89" i="6"/>
  <c r="G39" i="6"/>
  <c r="H36" i="6" s="1"/>
  <c r="G25" i="6"/>
  <c r="F27" i="6"/>
  <c r="G23" i="6"/>
  <c r="T56" i="21" l="1"/>
  <c r="T89" i="21" s="1"/>
  <c r="T10" i="21"/>
  <c r="T16" i="21" s="1"/>
  <c r="U12" i="21"/>
  <c r="U8" i="21"/>
  <c r="U56" i="21" s="1"/>
  <c r="U89" i="21" s="1"/>
  <c r="U37" i="21"/>
  <c r="U15" i="21" s="1"/>
  <c r="U26" i="21" s="1"/>
  <c r="U111" i="21" s="1"/>
  <c r="S27" i="21"/>
  <c r="U23" i="21"/>
  <c r="S107" i="22"/>
  <c r="S57" i="22"/>
  <c r="S90" i="22" s="1"/>
  <c r="S112" i="22"/>
  <c r="T25" i="22"/>
  <c r="T116" i="22" s="1"/>
  <c r="T19" i="22"/>
  <c r="T23" i="22"/>
  <c r="T38" i="22"/>
  <c r="T37" i="22"/>
  <c r="T26" i="22" s="1"/>
  <c r="U106" i="21"/>
  <c r="G30" i="6"/>
  <c r="G33" i="6" s="1"/>
  <c r="U39" i="21"/>
  <c r="V36" i="21" s="1"/>
  <c r="T71" i="21"/>
  <c r="T33" i="21"/>
  <c r="T107" i="21"/>
  <c r="T57" i="21"/>
  <c r="T90" i="21" s="1"/>
  <c r="T21" i="21"/>
  <c r="S105" i="21"/>
  <c r="S27" i="22"/>
  <c r="G21" i="6"/>
  <c r="G57" i="6"/>
  <c r="G90" i="6" s="1"/>
  <c r="G107" i="6"/>
  <c r="G16" i="6"/>
  <c r="G57" i="22"/>
  <c r="G90" i="22" s="1"/>
  <c r="G21" i="22"/>
  <c r="G107" i="22"/>
  <c r="G106" i="22"/>
  <c r="G26" i="22"/>
  <c r="G30" i="22"/>
  <c r="F105" i="22"/>
  <c r="H8" i="6"/>
  <c r="H56" i="6" s="1"/>
  <c r="H14" i="6"/>
  <c r="H25" i="6" s="1"/>
  <c r="H117" i="6" s="1"/>
  <c r="H12" i="6"/>
  <c r="H8" i="22"/>
  <c r="H14" i="22"/>
  <c r="H25" i="22" s="1"/>
  <c r="H12" i="22"/>
  <c r="G16" i="22"/>
  <c r="H37" i="6"/>
  <c r="H38" i="6"/>
  <c r="G113" i="6"/>
  <c r="G117" i="6"/>
  <c r="G26" i="6"/>
  <c r="G112" i="6" s="1"/>
  <c r="U19" i="21" l="1"/>
  <c r="U10" i="21"/>
  <c r="U16" i="21" s="1"/>
  <c r="U30" i="21"/>
  <c r="T112" i="21"/>
  <c r="T105" i="21"/>
  <c r="G71" i="6"/>
  <c r="G106" i="6" s="1"/>
  <c r="T27" i="21"/>
  <c r="V38" i="21"/>
  <c r="V8" i="21"/>
  <c r="V37" i="21"/>
  <c r="V15" i="21" s="1"/>
  <c r="V23" i="21"/>
  <c r="V14" i="21"/>
  <c r="V25" i="21" s="1"/>
  <c r="V12" i="21"/>
  <c r="T39" i="22"/>
  <c r="U36" i="22" s="1"/>
  <c r="T56" i="22"/>
  <c r="T89" i="22" s="1"/>
  <c r="T21" i="22"/>
  <c r="U21" i="21"/>
  <c r="U112" i="21" s="1"/>
  <c r="U107" i="21"/>
  <c r="U57" i="21"/>
  <c r="U90" i="21" s="1"/>
  <c r="U71" i="21"/>
  <c r="U33" i="21"/>
  <c r="T106" i="22"/>
  <c r="T33" i="22"/>
  <c r="T71" i="22" s="1"/>
  <c r="T105" i="22" s="1"/>
  <c r="T111" i="22"/>
  <c r="H15" i="6"/>
  <c r="H15" i="22"/>
  <c r="H10" i="6"/>
  <c r="H23" i="22"/>
  <c r="H116" i="22"/>
  <c r="G111" i="22"/>
  <c r="G27" i="22"/>
  <c r="G112" i="22"/>
  <c r="H10" i="22"/>
  <c r="H56" i="22"/>
  <c r="H89" i="22" s="1"/>
  <c r="H19" i="22"/>
  <c r="G33" i="22"/>
  <c r="G71" i="22"/>
  <c r="H39" i="6"/>
  <c r="I36" i="6" s="1"/>
  <c r="I38" i="6" s="1"/>
  <c r="H89" i="6"/>
  <c r="H19" i="6"/>
  <c r="H23" i="6"/>
  <c r="G27" i="6"/>
  <c r="V39" i="21" l="1"/>
  <c r="W36" i="21" s="1"/>
  <c r="W12" i="21"/>
  <c r="W38" i="21"/>
  <c r="W14" i="21"/>
  <c r="W25" i="21" s="1"/>
  <c r="W116" i="21" s="1"/>
  <c r="W23" i="21"/>
  <c r="W8" i="21"/>
  <c r="W37" i="21"/>
  <c r="W15" i="21" s="1"/>
  <c r="I37" i="6"/>
  <c r="T107" i="22"/>
  <c r="T57" i="22"/>
  <c r="T90" i="22" s="1"/>
  <c r="T112" i="22"/>
  <c r="V26" i="21"/>
  <c r="V106" i="21"/>
  <c r="V30" i="21"/>
  <c r="V56" i="21"/>
  <c r="V89" i="21" s="1"/>
  <c r="V10" i="21"/>
  <c r="V16" i="21" s="1"/>
  <c r="V19" i="21"/>
  <c r="U19" i="22"/>
  <c r="U23" i="22"/>
  <c r="U25" i="22"/>
  <c r="U116" i="22" s="1"/>
  <c r="U38" i="22"/>
  <c r="U37" i="22"/>
  <c r="U26" i="22" s="1"/>
  <c r="V116" i="21"/>
  <c r="H16" i="22"/>
  <c r="H30" i="6"/>
  <c r="U105" i="21"/>
  <c r="T27" i="22"/>
  <c r="U27" i="21"/>
  <c r="H16" i="6"/>
  <c r="H57" i="6"/>
  <c r="H90" i="6" s="1"/>
  <c r="H108" i="6"/>
  <c r="G105" i="22"/>
  <c r="I15" i="6"/>
  <c r="I30" i="6" s="1"/>
  <c r="I71" i="6" s="1"/>
  <c r="I106" i="6" s="1"/>
  <c r="I15" i="22"/>
  <c r="H30" i="22"/>
  <c r="H106" i="22"/>
  <c r="H26" i="22"/>
  <c r="I14" i="6"/>
  <c r="I25" i="6" s="1"/>
  <c r="I8" i="6"/>
  <c r="I12" i="6"/>
  <c r="I8" i="22"/>
  <c r="I12" i="22"/>
  <c r="I14" i="22"/>
  <c r="I25" i="22" s="1"/>
  <c r="H107" i="22"/>
  <c r="H57" i="22"/>
  <c r="H90" i="22" s="1"/>
  <c r="H21" i="22"/>
  <c r="H71" i="6"/>
  <c r="H106" i="6" s="1"/>
  <c r="H21" i="6"/>
  <c r="I39" i="6"/>
  <c r="J36" i="6" s="1"/>
  <c r="H33" i="6"/>
  <c r="H107" i="6"/>
  <c r="H26" i="6"/>
  <c r="H112" i="6" s="1"/>
  <c r="W39" i="21" l="1"/>
  <c r="X36" i="21" s="1"/>
  <c r="I117" i="6"/>
  <c r="H113" i="6"/>
  <c r="U39" i="22"/>
  <c r="V36" i="22" s="1"/>
  <c r="U56" i="22"/>
  <c r="U89" i="22" s="1"/>
  <c r="U21" i="22"/>
  <c r="U27" i="22" s="1"/>
  <c r="V71" i="21"/>
  <c r="V33" i="21"/>
  <c r="X14" i="21"/>
  <c r="X25" i="21" s="1"/>
  <c r="X37" i="21"/>
  <c r="X15" i="21" s="1"/>
  <c r="X38" i="21"/>
  <c r="X12" i="21"/>
  <c r="X23" i="21"/>
  <c r="X8" i="21"/>
  <c r="W106" i="21"/>
  <c r="W26" i="21"/>
  <c r="W111" i="21" s="1"/>
  <c r="W30" i="21"/>
  <c r="U106" i="22"/>
  <c r="U33" i="22"/>
  <c r="U71" i="22" s="1"/>
  <c r="U105" i="22" s="1"/>
  <c r="U111" i="22"/>
  <c r="V107" i="21"/>
  <c r="V57" i="21"/>
  <c r="V90" i="21" s="1"/>
  <c r="V21" i="21"/>
  <c r="V111" i="21"/>
  <c r="W56" i="21"/>
  <c r="W89" i="21" s="1"/>
  <c r="W19" i="21"/>
  <c r="W10" i="21"/>
  <c r="W16" i="21" s="1"/>
  <c r="I10" i="6"/>
  <c r="I56" i="6"/>
  <c r="I89" i="6" s="1"/>
  <c r="I19" i="6"/>
  <c r="I30" i="22"/>
  <c r="I26" i="22"/>
  <c r="I111" i="22" s="1"/>
  <c r="I106" i="22"/>
  <c r="I116" i="22"/>
  <c r="I23" i="22"/>
  <c r="H111" i="22"/>
  <c r="H112" i="22"/>
  <c r="H27" i="22"/>
  <c r="J12" i="6"/>
  <c r="J14" i="6"/>
  <c r="J25" i="6" s="1"/>
  <c r="J8" i="6"/>
  <c r="J10" i="6" s="1"/>
  <c r="J14" i="22"/>
  <c r="J25" i="22" s="1"/>
  <c r="J116" i="22" s="1"/>
  <c r="J12" i="22"/>
  <c r="J23" i="22" s="1"/>
  <c r="J8" i="22"/>
  <c r="I10" i="22"/>
  <c r="I16" i="22" s="1"/>
  <c r="I56" i="22"/>
  <c r="I89" i="22" s="1"/>
  <c r="I19" i="22"/>
  <c r="H71" i="22"/>
  <c r="H33" i="22"/>
  <c r="J38" i="6"/>
  <c r="J37" i="6"/>
  <c r="I108" i="6"/>
  <c r="I107" i="6"/>
  <c r="H27" i="6"/>
  <c r="I26" i="6"/>
  <c r="I112" i="6" s="1"/>
  <c r="I23" i="6"/>
  <c r="X39" i="21" l="1"/>
  <c r="Y36" i="21" s="1"/>
  <c r="V112" i="21"/>
  <c r="W107" i="21"/>
  <c r="W57" i="21"/>
  <c r="W90" i="21" s="1"/>
  <c r="W21" i="21"/>
  <c r="W112" i="21" s="1"/>
  <c r="V19" i="22"/>
  <c r="V23" i="22"/>
  <c r="V25" i="22"/>
  <c r="V116" i="22" s="1"/>
  <c r="V38" i="22"/>
  <c r="V37" i="22"/>
  <c r="V26" i="22" s="1"/>
  <c r="W71" i="21"/>
  <c r="W33" i="21"/>
  <c r="V27" i="21"/>
  <c r="Y12" i="21"/>
  <c r="E44" i="21" s="1"/>
  <c r="Y38" i="21"/>
  <c r="Y8" i="21"/>
  <c r="Y23" i="21"/>
  <c r="AB23" i="21" s="1"/>
  <c r="Y37" i="21"/>
  <c r="Y15" i="21" s="1"/>
  <c r="E45" i="21" s="1"/>
  <c r="Y14" i="21"/>
  <c r="Y25" i="21" s="1"/>
  <c r="F100" i="21"/>
  <c r="V105" i="21"/>
  <c r="X10" i="21"/>
  <c r="X16" i="21" s="1"/>
  <c r="X56" i="21"/>
  <c r="X89" i="21" s="1"/>
  <c r="X19" i="21"/>
  <c r="X30" i="21"/>
  <c r="X26" i="21"/>
  <c r="X111" i="21" s="1"/>
  <c r="X106" i="21"/>
  <c r="U57" i="22"/>
  <c r="U90" i="22" s="1"/>
  <c r="U107" i="22"/>
  <c r="U112" i="22"/>
  <c r="X116" i="21"/>
  <c r="AB116" i="21"/>
  <c r="H105" i="22"/>
  <c r="J56" i="6"/>
  <c r="J89" i="6" s="1"/>
  <c r="I71" i="22"/>
  <c r="I105" i="22" s="1"/>
  <c r="I33" i="22"/>
  <c r="J19" i="6"/>
  <c r="J15" i="6"/>
  <c r="J15" i="22"/>
  <c r="I107" i="22"/>
  <c r="I21" i="22"/>
  <c r="I57" i="22"/>
  <c r="I90" i="22" s="1"/>
  <c r="J10" i="22"/>
  <c r="J19" i="22"/>
  <c r="J56" i="22"/>
  <c r="J89" i="22" s="1"/>
  <c r="I16" i="6"/>
  <c r="I21" i="6"/>
  <c r="I57" i="6"/>
  <c r="I90" i="6" s="1"/>
  <c r="J39" i="6"/>
  <c r="K36" i="6" s="1"/>
  <c r="K38" i="6" s="1"/>
  <c r="J117" i="6"/>
  <c r="J21" i="6"/>
  <c r="I33" i="6"/>
  <c r="Y116" i="21" l="1"/>
  <c r="AB25" i="21"/>
  <c r="V39" i="22"/>
  <c r="W36" i="22" s="1"/>
  <c r="I113" i="6"/>
  <c r="W27" i="21"/>
  <c r="J16" i="6"/>
  <c r="Y39" i="21"/>
  <c r="W105" i="21"/>
  <c r="Y106" i="21"/>
  <c r="AB106" i="21" s="1"/>
  <c r="Y30" i="21"/>
  <c r="Y26" i="21"/>
  <c r="AB26" i="21" s="1"/>
  <c r="J55" i="21"/>
  <c r="W38" i="22"/>
  <c r="W19" i="22"/>
  <c r="W23" i="22"/>
  <c r="W25" i="22"/>
  <c r="W116" i="22" s="1"/>
  <c r="W37" i="22"/>
  <c r="W26" i="22" s="1"/>
  <c r="X71" i="21"/>
  <c r="X33" i="21"/>
  <c r="X107" i="21"/>
  <c r="X21" i="21"/>
  <c r="X112" i="21" s="1"/>
  <c r="X57" i="21"/>
  <c r="X90" i="21" s="1"/>
  <c r="F101" i="21"/>
  <c r="G97" i="21" s="1"/>
  <c r="F113" i="21"/>
  <c r="F108" i="21"/>
  <c r="Y10" i="21"/>
  <c r="Y16" i="21" s="1"/>
  <c r="Y56" i="21"/>
  <c r="Y89" i="21" s="1"/>
  <c r="Y19" i="21"/>
  <c r="AB19" i="21" s="1"/>
  <c r="E42" i="21"/>
  <c r="V33" i="22"/>
  <c r="V71" i="22" s="1"/>
  <c r="V105" i="22" s="1"/>
  <c r="V106" i="22"/>
  <c r="V111" i="22"/>
  <c r="V56" i="22"/>
  <c r="V89" i="22" s="1"/>
  <c r="V21" i="22"/>
  <c r="V27" i="22" s="1"/>
  <c r="J57" i="6"/>
  <c r="J90" i="6" s="1"/>
  <c r="J106" i="22"/>
  <c r="J30" i="22"/>
  <c r="J26" i="22"/>
  <c r="I27" i="6"/>
  <c r="I27" i="22"/>
  <c r="I112" i="22"/>
  <c r="J16" i="22"/>
  <c r="J21" i="22"/>
  <c r="J112" i="22" s="1"/>
  <c r="J107" i="22"/>
  <c r="J57" i="22"/>
  <c r="J90" i="22" s="1"/>
  <c r="J30" i="6"/>
  <c r="J71" i="6" s="1"/>
  <c r="J106" i="6" s="1"/>
  <c r="K12" i="6"/>
  <c r="K8" i="6"/>
  <c r="K10" i="6" s="1"/>
  <c r="K14" i="6"/>
  <c r="K25" i="6" s="1"/>
  <c r="K8" i="22"/>
  <c r="K12" i="22"/>
  <c r="K23" i="22" s="1"/>
  <c r="K14" i="22"/>
  <c r="K25" i="22" s="1"/>
  <c r="K116" i="22" s="1"/>
  <c r="K37" i="6"/>
  <c r="J108" i="6"/>
  <c r="J23" i="6"/>
  <c r="J107" i="6"/>
  <c r="W39" i="22" l="1"/>
  <c r="X36" i="22" s="1"/>
  <c r="F114" i="21"/>
  <c r="W33" i="22"/>
  <c r="W71" i="22" s="1"/>
  <c r="W105" i="22" s="1"/>
  <c r="W106" i="22"/>
  <c r="W111" i="22"/>
  <c r="X27" i="21"/>
  <c r="V57" i="22"/>
  <c r="V90" i="22" s="1"/>
  <c r="V107" i="22"/>
  <c r="V112" i="22"/>
  <c r="G99" i="21"/>
  <c r="G100" i="21" s="1"/>
  <c r="J77" i="21"/>
  <c r="J88" i="21" s="1"/>
  <c r="Y107" i="21"/>
  <c r="AB107" i="21" s="1"/>
  <c r="Y57" i="21"/>
  <c r="Y90" i="21" s="1"/>
  <c r="Y21" i="21"/>
  <c r="AB21" i="21" s="1"/>
  <c r="AB27" i="21" s="1"/>
  <c r="X105" i="21"/>
  <c r="Y111" i="21"/>
  <c r="X25" i="22"/>
  <c r="X116" i="22" s="1"/>
  <c r="X19" i="22"/>
  <c r="X23" i="22"/>
  <c r="X38" i="22"/>
  <c r="X37" i="22"/>
  <c r="X26" i="22" s="1"/>
  <c r="W56" i="22"/>
  <c r="W89" i="22" s="1"/>
  <c r="W21" i="22"/>
  <c r="W27" i="22" s="1"/>
  <c r="Y71" i="21"/>
  <c r="Y33" i="21"/>
  <c r="E47" i="21"/>
  <c r="F65" i="21" s="1"/>
  <c r="E43" i="21"/>
  <c r="E48" i="21" s="1"/>
  <c r="K19" i="6"/>
  <c r="J111" i="22"/>
  <c r="K10" i="22"/>
  <c r="K56" i="22"/>
  <c r="K89" i="22" s="1"/>
  <c r="K19" i="22"/>
  <c r="J33" i="22"/>
  <c r="J71" i="22"/>
  <c r="K56" i="6"/>
  <c r="K89" i="6" s="1"/>
  <c r="K15" i="6"/>
  <c r="K15" i="22"/>
  <c r="J27" i="22"/>
  <c r="K21" i="6"/>
  <c r="K39" i="6"/>
  <c r="L36" i="6" s="1"/>
  <c r="J113" i="6"/>
  <c r="K108" i="6"/>
  <c r="K117" i="6"/>
  <c r="J33" i="6"/>
  <c r="K23" i="6"/>
  <c r="J26" i="6"/>
  <c r="J112" i="6" s="1"/>
  <c r="X39" i="22" l="1"/>
  <c r="Y36" i="22" s="1"/>
  <c r="G113" i="21"/>
  <c r="G108" i="21"/>
  <c r="E49" i="21"/>
  <c r="F76" i="21" s="1"/>
  <c r="F69" i="21"/>
  <c r="F72" i="21"/>
  <c r="G64" i="21" s="1"/>
  <c r="G69" i="21" s="1"/>
  <c r="G72" i="21" s="1"/>
  <c r="H64" i="21" s="1"/>
  <c r="H69" i="21" s="1"/>
  <c r="H72" i="21" s="1"/>
  <c r="I64" i="21" s="1"/>
  <c r="W107" i="22"/>
  <c r="W57" i="22"/>
  <c r="W90" i="22" s="1"/>
  <c r="W112" i="22"/>
  <c r="AB111" i="21"/>
  <c r="F54" i="21"/>
  <c r="Y27" i="21"/>
  <c r="Y112" i="21"/>
  <c r="AB112" i="21" s="1"/>
  <c r="Y105" i="21"/>
  <c r="AB105" i="21" s="1"/>
  <c r="Y25" i="22"/>
  <c r="Y116" i="22" s="1"/>
  <c r="Y19" i="22"/>
  <c r="Y23" i="22"/>
  <c r="Y37" i="22"/>
  <c r="Y26" i="22" s="1"/>
  <c r="Y38" i="22"/>
  <c r="X21" i="22"/>
  <c r="X27" i="22" s="1"/>
  <c r="X56" i="22"/>
  <c r="X89" i="22" s="1"/>
  <c r="G101" i="21"/>
  <c r="H97" i="21" s="1"/>
  <c r="K57" i="6"/>
  <c r="K90" i="6" s="1"/>
  <c r="X106" i="22"/>
  <c r="X33" i="22"/>
  <c r="X71" i="22" s="1"/>
  <c r="X105" i="22" s="1"/>
  <c r="X111" i="22"/>
  <c r="K16" i="22"/>
  <c r="K107" i="22"/>
  <c r="K21" i="22"/>
  <c r="K57" i="22"/>
  <c r="K90" i="22" s="1"/>
  <c r="L38" i="6"/>
  <c r="L8" i="6"/>
  <c r="L12" i="6"/>
  <c r="L14" i="6"/>
  <c r="L12" i="22"/>
  <c r="L23" i="22" s="1"/>
  <c r="L14" i="22"/>
  <c r="L25" i="22" s="1"/>
  <c r="L116" i="22" s="1"/>
  <c r="L8" i="22"/>
  <c r="J105" i="22"/>
  <c r="K107" i="6"/>
  <c r="K30" i="6"/>
  <c r="K71" i="6" s="1"/>
  <c r="K106" i="6" s="1"/>
  <c r="K16" i="6"/>
  <c r="K106" i="22"/>
  <c r="K30" i="22"/>
  <c r="K26" i="22"/>
  <c r="L37" i="6"/>
  <c r="K113" i="6"/>
  <c r="J27" i="6"/>
  <c r="K26" i="6"/>
  <c r="K112" i="6" s="1"/>
  <c r="Y39" i="22" l="1"/>
  <c r="X107" i="22"/>
  <c r="X57" i="22"/>
  <c r="X90" i="22" s="1"/>
  <c r="X112" i="22"/>
  <c r="F87" i="21"/>
  <c r="F118" i="21" s="1"/>
  <c r="F58" i="21"/>
  <c r="E50" i="21"/>
  <c r="Y56" i="22"/>
  <c r="Y89" i="22" s="1"/>
  <c r="Y21" i="22"/>
  <c r="Y27" i="22" s="1"/>
  <c r="F80" i="21"/>
  <c r="F82" i="21" s="1"/>
  <c r="I69" i="21"/>
  <c r="I72" i="21" s="1"/>
  <c r="J64" i="21" s="1"/>
  <c r="J69" i="21" s="1"/>
  <c r="J72" i="21" s="1"/>
  <c r="K64" i="21" s="1"/>
  <c r="K69" i="21" s="1"/>
  <c r="K72" i="21" s="1"/>
  <c r="L64" i="21" s="1"/>
  <c r="L69" i="21" s="1"/>
  <c r="L72" i="21" s="1"/>
  <c r="M64" i="21" s="1"/>
  <c r="H99" i="21"/>
  <c r="H100" i="21" s="1"/>
  <c r="H101" i="21" s="1"/>
  <c r="I97" i="21" s="1"/>
  <c r="Y106" i="22"/>
  <c r="Y33" i="22"/>
  <c r="Y71" i="22" s="1"/>
  <c r="Y105" i="22" s="1"/>
  <c r="Y111" i="22"/>
  <c r="G114" i="21"/>
  <c r="L10" i="6"/>
  <c r="L108" i="6" s="1"/>
  <c r="L15" i="6"/>
  <c r="L30" i="6" s="1"/>
  <c r="L71" i="6" s="1"/>
  <c r="L106" i="6" s="1"/>
  <c r="L15" i="22"/>
  <c r="K111" i="22"/>
  <c r="L10" i="22"/>
  <c r="L19" i="22"/>
  <c r="L56" i="22"/>
  <c r="L89" i="22" s="1"/>
  <c r="K112" i="22"/>
  <c r="K33" i="22"/>
  <c r="K71" i="22"/>
  <c r="K27" i="22"/>
  <c r="L39" i="6"/>
  <c r="M36" i="6" s="1"/>
  <c r="L25" i="6"/>
  <c r="L117" i="6" s="1"/>
  <c r="L56" i="6"/>
  <c r="L89" i="6" s="1"/>
  <c r="L19" i="6"/>
  <c r="K33" i="6"/>
  <c r="L23" i="6"/>
  <c r="K27" i="6"/>
  <c r="L16" i="22" l="1"/>
  <c r="F83" i="21"/>
  <c r="G75" i="21" s="1"/>
  <c r="G80" i="21" s="1"/>
  <c r="G82" i="21" s="1"/>
  <c r="M69" i="21"/>
  <c r="M72" i="21" s="1"/>
  <c r="N64" i="21" s="1"/>
  <c r="N69" i="21" s="1"/>
  <c r="N72" i="21" s="1"/>
  <c r="O64" i="21" s="1"/>
  <c r="O69" i="21" s="1"/>
  <c r="O72" i="21" s="1"/>
  <c r="P64" i="21" s="1"/>
  <c r="P69" i="21" s="1"/>
  <c r="P72" i="21" s="1"/>
  <c r="Q64" i="21" s="1"/>
  <c r="F104" i="21"/>
  <c r="F93" i="21"/>
  <c r="F91" i="21"/>
  <c r="F119" i="21" s="1"/>
  <c r="F120" i="21" s="1"/>
  <c r="I99" i="21"/>
  <c r="I100" i="21" s="1"/>
  <c r="H113" i="21"/>
  <c r="H108" i="21"/>
  <c r="Y57" i="22"/>
  <c r="Y90" i="22" s="1"/>
  <c r="Y107" i="22"/>
  <c r="Y112" i="22"/>
  <c r="F61" i="21"/>
  <c r="K105" i="22"/>
  <c r="L57" i="22"/>
  <c r="L90" i="22" s="1"/>
  <c r="L107" i="22"/>
  <c r="L21" i="22"/>
  <c r="L106" i="22"/>
  <c r="L30" i="22"/>
  <c r="L26" i="22"/>
  <c r="L111" i="22" s="1"/>
  <c r="L107" i="6"/>
  <c r="L16" i="6"/>
  <c r="M8" i="6"/>
  <c r="M10" i="6" s="1"/>
  <c r="M14" i="6"/>
  <c r="M25" i="6" s="1"/>
  <c r="M117" i="6" s="1"/>
  <c r="M12" i="6"/>
  <c r="M8" i="22"/>
  <c r="M14" i="22"/>
  <c r="M25" i="22" s="1"/>
  <c r="M12" i="22"/>
  <c r="M23" i="22" s="1"/>
  <c r="AB23" i="22" s="1"/>
  <c r="M37" i="6"/>
  <c r="M38" i="6"/>
  <c r="L21" i="6"/>
  <c r="L113" i="6" s="1"/>
  <c r="L57" i="6"/>
  <c r="L90" i="6" s="1"/>
  <c r="L26" i="6"/>
  <c r="L112" i="6" s="1"/>
  <c r="I101" i="21" l="1"/>
  <c r="J97" i="21" s="1"/>
  <c r="I113" i="21"/>
  <c r="I114" i="21" s="1"/>
  <c r="I108" i="21"/>
  <c r="Q69" i="21"/>
  <c r="Q72" i="21" s="1"/>
  <c r="R64" i="21" s="1"/>
  <c r="R69" i="21" s="1"/>
  <c r="R72" i="21" s="1"/>
  <c r="S64" i="21" s="1"/>
  <c r="S69" i="21" s="1"/>
  <c r="S72" i="21" s="1"/>
  <c r="T64" i="21" s="1"/>
  <c r="T69" i="21" s="1"/>
  <c r="T72" i="21" s="1"/>
  <c r="U64" i="21" s="1"/>
  <c r="U69" i="21" s="1"/>
  <c r="U72" i="21" s="1"/>
  <c r="V64" i="21" s="1"/>
  <c r="V69" i="21" s="1"/>
  <c r="V72" i="21" s="1"/>
  <c r="W64" i="21" s="1"/>
  <c r="W69" i="21" s="1"/>
  <c r="W72" i="21" s="1"/>
  <c r="X64" i="21" s="1"/>
  <c r="X69" i="21" s="1"/>
  <c r="X72" i="21" s="1"/>
  <c r="Y64" i="21" s="1"/>
  <c r="Y69" i="21" s="1"/>
  <c r="Y72" i="21" s="1"/>
  <c r="H114" i="21"/>
  <c r="G83" i="21"/>
  <c r="H75" i="21" s="1"/>
  <c r="G93" i="21"/>
  <c r="G104" i="21"/>
  <c r="G109" i="21" s="1"/>
  <c r="F94" i="21"/>
  <c r="G53" i="21"/>
  <c r="F109" i="21"/>
  <c r="F122" i="21" s="1"/>
  <c r="M56" i="6"/>
  <c r="M89" i="6" s="1"/>
  <c r="L27" i="22"/>
  <c r="L112" i="22"/>
  <c r="L71" i="22"/>
  <c r="L33" i="22"/>
  <c r="M10" i="22"/>
  <c r="M56" i="22"/>
  <c r="M89" i="22" s="1"/>
  <c r="M19" i="22"/>
  <c r="M116" i="22"/>
  <c r="AB25" i="22"/>
  <c r="AB116" i="22"/>
  <c r="M15" i="6"/>
  <c r="M107" i="6" s="1"/>
  <c r="M15" i="22"/>
  <c r="M19" i="6"/>
  <c r="M39" i="6"/>
  <c r="N36" i="6" s="1"/>
  <c r="N38" i="6" s="1"/>
  <c r="M21" i="6"/>
  <c r="M108" i="6"/>
  <c r="L33" i="6"/>
  <c r="M23" i="6"/>
  <c r="L27" i="6"/>
  <c r="J99" i="21" l="1"/>
  <c r="J100" i="21" s="1"/>
  <c r="N37" i="6"/>
  <c r="G58" i="21"/>
  <c r="G91" i="21" s="1"/>
  <c r="G119" i="21" s="1"/>
  <c r="G86" i="21"/>
  <c r="G118" i="21" s="1"/>
  <c r="H80" i="21"/>
  <c r="H82" i="21" s="1"/>
  <c r="M30" i="6"/>
  <c r="M71" i="6" s="1"/>
  <c r="M106" i="6" s="1"/>
  <c r="N15" i="6"/>
  <c r="N15" i="22"/>
  <c r="M16" i="6"/>
  <c r="M106" i="22"/>
  <c r="M26" i="22"/>
  <c r="M30" i="22"/>
  <c r="M107" i="22"/>
  <c r="M57" i="22"/>
  <c r="M90" i="22" s="1"/>
  <c r="M21" i="22"/>
  <c r="M16" i="22"/>
  <c r="M57" i="6"/>
  <c r="M90" i="6" s="1"/>
  <c r="L105" i="22"/>
  <c r="N14" i="6"/>
  <c r="N25" i="6" s="1"/>
  <c r="N117" i="6" s="1"/>
  <c r="N8" i="6"/>
  <c r="N12" i="6"/>
  <c r="N8" i="22"/>
  <c r="N14" i="22"/>
  <c r="N12" i="22"/>
  <c r="AB19" i="22"/>
  <c r="N39" i="6"/>
  <c r="O36" i="6" s="1"/>
  <c r="N30" i="6"/>
  <c r="N71" i="6" s="1"/>
  <c r="N106" i="6" s="1"/>
  <c r="M113" i="6"/>
  <c r="M26" i="6"/>
  <c r="M112" i="6" s="1"/>
  <c r="J113" i="21" l="1"/>
  <c r="J108" i="21"/>
  <c r="J101" i="21"/>
  <c r="K97" i="21" s="1"/>
  <c r="G120" i="21"/>
  <c r="G122" i="21" s="1"/>
  <c r="H83" i="21"/>
  <c r="I75" i="21" s="1"/>
  <c r="H104" i="21"/>
  <c r="H93" i="21"/>
  <c r="G61" i="21"/>
  <c r="M111" i="22"/>
  <c r="AB111" i="22" s="1"/>
  <c r="AB26" i="22"/>
  <c r="O14" i="6"/>
  <c r="O25" i="6" s="1"/>
  <c r="O117" i="6" s="1"/>
  <c r="O8" i="6"/>
  <c r="O12" i="6"/>
  <c r="O14" i="22"/>
  <c r="O8" i="22"/>
  <c r="O12" i="22"/>
  <c r="N10" i="6"/>
  <c r="N16" i="6" s="1"/>
  <c r="M33" i="22"/>
  <c r="M71" i="22"/>
  <c r="N106" i="22"/>
  <c r="AB106" i="22" s="1"/>
  <c r="N30" i="22"/>
  <c r="N56" i="6"/>
  <c r="N89" i="6" s="1"/>
  <c r="N10" i="22"/>
  <c r="N16" i="22" s="1"/>
  <c r="N56" i="22"/>
  <c r="N89" i="22" s="1"/>
  <c r="M112" i="22"/>
  <c r="AB112" i="22" s="1"/>
  <c r="AB21" i="22"/>
  <c r="AB27" i="22" s="1"/>
  <c r="M27" i="22"/>
  <c r="N19" i="6"/>
  <c r="O38" i="6"/>
  <c r="O37" i="6"/>
  <c r="M33" i="6"/>
  <c r="N23" i="6"/>
  <c r="M27" i="6"/>
  <c r="N107" i="6"/>
  <c r="I80" i="21" l="1"/>
  <c r="I82" i="21" s="1"/>
  <c r="K99" i="21"/>
  <c r="K100" i="21" s="1"/>
  <c r="G94" i="21"/>
  <c r="H53" i="21"/>
  <c r="H109" i="21"/>
  <c r="J114" i="21"/>
  <c r="N57" i="6"/>
  <c r="N90" i="6" s="1"/>
  <c r="N21" i="6"/>
  <c r="N108" i="6"/>
  <c r="O10" i="22"/>
  <c r="N71" i="22"/>
  <c r="N33" i="22"/>
  <c r="M105" i="22"/>
  <c r="O10" i="6"/>
  <c r="O16" i="6" s="1"/>
  <c r="O19" i="6"/>
  <c r="O15" i="6"/>
  <c r="O30" i="6" s="1"/>
  <c r="O71" i="6" s="1"/>
  <c r="O106" i="6" s="1"/>
  <c r="O15" i="22"/>
  <c r="O30" i="22" s="1"/>
  <c r="N107" i="22"/>
  <c r="AB107" i="22" s="1"/>
  <c r="N57" i="22"/>
  <c r="N90" i="22" s="1"/>
  <c r="O39" i="6"/>
  <c r="P36" i="6" s="1"/>
  <c r="O56" i="6"/>
  <c r="O89" i="6" s="1"/>
  <c r="N113" i="6"/>
  <c r="N26" i="6"/>
  <c r="N112" i="6" s="1"/>
  <c r="K101" i="21" l="1"/>
  <c r="L97" i="21" s="1"/>
  <c r="L99" i="21" s="1"/>
  <c r="L100" i="21" s="1"/>
  <c r="K113" i="21"/>
  <c r="K108" i="21"/>
  <c r="H86" i="21"/>
  <c r="H118" i="21" s="1"/>
  <c r="H58" i="21"/>
  <c r="H91" i="21" s="1"/>
  <c r="H119" i="21" s="1"/>
  <c r="I83" i="21"/>
  <c r="J75" i="21" s="1"/>
  <c r="I93" i="21"/>
  <c r="I104" i="21"/>
  <c r="O21" i="6"/>
  <c r="P38" i="6"/>
  <c r="P8" i="6"/>
  <c r="P10" i="6" s="1"/>
  <c r="P12" i="6"/>
  <c r="P14" i="6"/>
  <c r="P12" i="22"/>
  <c r="P8" i="22"/>
  <c r="P14" i="22"/>
  <c r="N105" i="22"/>
  <c r="AB105" i="22" s="1"/>
  <c r="O16" i="22"/>
  <c r="P37" i="6"/>
  <c r="P39" i="6" s="1"/>
  <c r="Q36" i="6" s="1"/>
  <c r="O57" i="6"/>
  <c r="O90" i="6" s="1"/>
  <c r="O108" i="6"/>
  <c r="N33" i="6"/>
  <c r="O23" i="6"/>
  <c r="N27" i="6"/>
  <c r="O107" i="6"/>
  <c r="P25" i="6" l="1"/>
  <c r="P117" i="6" s="1"/>
  <c r="H61" i="21"/>
  <c r="H94" i="21" s="1"/>
  <c r="P56" i="6"/>
  <c r="P89" i="6" s="1"/>
  <c r="J80" i="21"/>
  <c r="L101" i="21"/>
  <c r="M97" i="21" s="1"/>
  <c r="K114" i="21"/>
  <c r="L113" i="21"/>
  <c r="L114" i="21" s="1"/>
  <c r="L108" i="21"/>
  <c r="I53" i="21"/>
  <c r="I109" i="21"/>
  <c r="H120" i="21"/>
  <c r="H122" i="21" s="1"/>
  <c r="P19" i="6"/>
  <c r="P10" i="22"/>
  <c r="Q8" i="6"/>
  <c r="Q14" i="6"/>
  <c r="Q12" i="6"/>
  <c r="Q8" i="22"/>
  <c r="Q14" i="22"/>
  <c r="Q12" i="22"/>
  <c r="P15" i="6"/>
  <c r="P15" i="22"/>
  <c r="P30" i="22" s="1"/>
  <c r="P21" i="6"/>
  <c r="Q37" i="6"/>
  <c r="Q38" i="6"/>
  <c r="O113" i="6"/>
  <c r="O26" i="6"/>
  <c r="O112" i="6" s="1"/>
  <c r="Q10" i="6" l="1"/>
  <c r="P16" i="6"/>
  <c r="J82" i="21"/>
  <c r="J83" i="21" s="1"/>
  <c r="K75" i="21" s="1"/>
  <c r="K80" i="21" s="1"/>
  <c r="K82" i="21" s="1"/>
  <c r="P57" i="6"/>
  <c r="P90" i="6" s="1"/>
  <c r="M99" i="21"/>
  <c r="M100" i="21" s="1"/>
  <c r="I86" i="21"/>
  <c r="I118" i="21" s="1"/>
  <c r="I58" i="21"/>
  <c r="I91" i="21" s="1"/>
  <c r="I119" i="21" s="1"/>
  <c r="P30" i="6"/>
  <c r="Q10" i="22"/>
  <c r="Q15" i="6"/>
  <c r="Q15" i="22"/>
  <c r="Q30" i="22" s="1"/>
  <c r="P16" i="22"/>
  <c r="Q39" i="6"/>
  <c r="R36" i="6" s="1"/>
  <c r="Q25" i="6"/>
  <c r="Q56" i="6"/>
  <c r="Q89" i="6" s="1"/>
  <c r="Q19" i="6"/>
  <c r="Q30" i="6"/>
  <c r="Q71" i="6" s="1"/>
  <c r="Q106" i="6" s="1"/>
  <c r="P108" i="6"/>
  <c r="O33" i="6"/>
  <c r="P23" i="6"/>
  <c r="O27" i="6"/>
  <c r="P107" i="6"/>
  <c r="Q16" i="6" l="1"/>
  <c r="P71" i="6"/>
  <c r="P106" i="6" s="1"/>
  <c r="Q117" i="6"/>
  <c r="J104" i="21"/>
  <c r="J109" i="21" s="1"/>
  <c r="J93" i="21"/>
  <c r="M101" i="21"/>
  <c r="N97" i="21" s="1"/>
  <c r="N99" i="21" s="1"/>
  <c r="N100" i="21" s="1"/>
  <c r="K93" i="21"/>
  <c r="K104" i="21"/>
  <c r="K109" i="21" s="1"/>
  <c r="K83" i="21"/>
  <c r="L75" i="21" s="1"/>
  <c r="I61" i="21"/>
  <c r="M113" i="21"/>
  <c r="M114" i="21" s="1"/>
  <c r="M108" i="21"/>
  <c r="I120" i="21"/>
  <c r="I122" i="21" s="1"/>
  <c r="Q16" i="22"/>
  <c r="R12" i="6"/>
  <c r="R14" i="6"/>
  <c r="R8" i="6"/>
  <c r="R14" i="22"/>
  <c r="R12" i="22"/>
  <c r="R8" i="22"/>
  <c r="R37" i="6"/>
  <c r="R38" i="6"/>
  <c r="Q21" i="6"/>
  <c r="P113" i="6"/>
  <c r="P26" i="6"/>
  <c r="Q57" i="6"/>
  <c r="Q90" i="6" s="1"/>
  <c r="R25" i="6" l="1"/>
  <c r="R10" i="6"/>
  <c r="P112" i="6"/>
  <c r="N113" i="21"/>
  <c r="N114" i="21" s="1"/>
  <c r="N108" i="21"/>
  <c r="L80" i="21"/>
  <c r="L82" i="21" s="1"/>
  <c r="I94" i="21"/>
  <c r="J53" i="21"/>
  <c r="N101" i="21"/>
  <c r="O97" i="21" s="1"/>
  <c r="R19" i="6"/>
  <c r="R39" i="6"/>
  <c r="S36" i="6" s="1"/>
  <c r="S8" i="22" s="1"/>
  <c r="S10" i="22" s="1"/>
  <c r="R15" i="6"/>
  <c r="R15" i="22"/>
  <c r="R30" i="22" s="1"/>
  <c r="R10" i="22"/>
  <c r="R56" i="6"/>
  <c r="R89" i="6" s="1"/>
  <c r="R21" i="6"/>
  <c r="Q108" i="6"/>
  <c r="P33" i="6"/>
  <c r="Q23" i="6"/>
  <c r="P27" i="6"/>
  <c r="R30" i="6" l="1"/>
  <c r="R117" i="6"/>
  <c r="S37" i="6"/>
  <c r="S14" i="6"/>
  <c r="L83" i="21"/>
  <c r="M75" i="21" s="1"/>
  <c r="S8" i="6"/>
  <c r="S38" i="6"/>
  <c r="S12" i="22"/>
  <c r="M80" i="21"/>
  <c r="M82" i="21" s="1"/>
  <c r="O99" i="21"/>
  <c r="O100" i="21" s="1"/>
  <c r="O101" i="21" s="1"/>
  <c r="P97" i="21" s="1"/>
  <c r="L93" i="21"/>
  <c r="L104" i="21"/>
  <c r="L109" i="21" s="1"/>
  <c r="J86" i="21"/>
  <c r="J118" i="21" s="1"/>
  <c r="J58" i="21"/>
  <c r="J91" i="21" s="1"/>
  <c r="J119" i="21" s="1"/>
  <c r="R16" i="6"/>
  <c r="S12" i="6"/>
  <c r="R16" i="22"/>
  <c r="S39" i="6"/>
  <c r="T36" i="6" s="1"/>
  <c r="T14" i="6" s="1"/>
  <c r="S14" i="22"/>
  <c r="T12" i="6"/>
  <c r="T14" i="22"/>
  <c r="S15" i="6"/>
  <c r="S30" i="6" s="1"/>
  <c r="S71" i="6" s="1"/>
  <c r="S106" i="6" s="1"/>
  <c r="S15" i="22"/>
  <c r="S30" i="22" s="1"/>
  <c r="Q113" i="6"/>
  <c r="Q107" i="6"/>
  <c r="Q33" i="6"/>
  <c r="Q26" i="6"/>
  <c r="R57" i="6"/>
  <c r="R90" i="6" s="1"/>
  <c r="R71" i="6" l="1"/>
  <c r="R106" i="6" s="1"/>
  <c r="S10" i="6"/>
  <c r="Q112" i="6"/>
  <c r="T37" i="6"/>
  <c r="T15" i="22" s="1"/>
  <c r="T30" i="22" s="1"/>
  <c r="T12" i="22"/>
  <c r="S25" i="6"/>
  <c r="J61" i="21"/>
  <c r="J94" i="21" s="1"/>
  <c r="M83" i="21"/>
  <c r="N75" i="21" s="1"/>
  <c r="N80" i="21" s="1"/>
  <c r="N82" i="21" s="1"/>
  <c r="T8" i="6"/>
  <c r="T10" i="6" s="1"/>
  <c r="S56" i="6"/>
  <c r="S89" i="6" s="1"/>
  <c r="T8" i="22"/>
  <c r="T10" i="22" s="1"/>
  <c r="S19" i="6"/>
  <c r="P99" i="21"/>
  <c r="P100" i="21" s="1"/>
  <c r="T38" i="6"/>
  <c r="S16" i="6"/>
  <c r="J120" i="21"/>
  <c r="J122" i="21" s="1"/>
  <c r="O113" i="21"/>
  <c r="O114" i="21" s="1"/>
  <c r="O108" i="21"/>
  <c r="M93" i="21"/>
  <c r="M104" i="21"/>
  <c r="M109" i="21" s="1"/>
  <c r="S16" i="22"/>
  <c r="T15" i="6"/>
  <c r="T25" i="6"/>
  <c r="T117" i="6" s="1"/>
  <c r="T39" i="6"/>
  <c r="U36" i="6" s="1"/>
  <c r="R108" i="6"/>
  <c r="R107" i="6"/>
  <c r="R26" i="6"/>
  <c r="R112" i="6" s="1"/>
  <c r="R23" i="6"/>
  <c r="Q27" i="6"/>
  <c r="R33" i="6"/>
  <c r="T19" i="6" l="1"/>
  <c r="S117" i="6"/>
  <c r="S21" i="6"/>
  <c r="K53" i="21"/>
  <c r="K86" i="21" s="1"/>
  <c r="K118" i="21" s="1"/>
  <c r="T56" i="6"/>
  <c r="T89" i="6" s="1"/>
  <c r="P101" i="21"/>
  <c r="Q97" i="21" s="1"/>
  <c r="Q99" i="21" s="1"/>
  <c r="Q100" i="21" s="1"/>
  <c r="N104" i="21"/>
  <c r="N109" i="21" s="1"/>
  <c r="N93" i="21"/>
  <c r="P113" i="21"/>
  <c r="P114" i="21" s="1"/>
  <c r="P108" i="21"/>
  <c r="N83" i="21"/>
  <c r="O75" i="21" s="1"/>
  <c r="T16" i="6"/>
  <c r="U8" i="6"/>
  <c r="U14" i="6"/>
  <c r="U12" i="6"/>
  <c r="U8" i="22"/>
  <c r="U14" i="22"/>
  <c r="U12" i="22"/>
  <c r="T16" i="22"/>
  <c r="U38" i="6"/>
  <c r="U37" i="6"/>
  <c r="T21" i="6"/>
  <c r="T30" i="6"/>
  <c r="R113" i="6"/>
  <c r="R27" i="6"/>
  <c r="S57" i="6"/>
  <c r="S90" i="6" s="1"/>
  <c r="T71" i="6" l="1"/>
  <c r="T106" i="6" s="1"/>
  <c r="K58" i="21"/>
  <c r="K91" i="21" s="1"/>
  <c r="K119" i="21" s="1"/>
  <c r="K120" i="21" s="1"/>
  <c r="K122" i="21" s="1"/>
  <c r="Q113" i="21"/>
  <c r="Q114" i="21" s="1"/>
  <c r="Q108" i="21"/>
  <c r="Q101" i="21"/>
  <c r="R97" i="21" s="1"/>
  <c r="O80" i="21"/>
  <c r="O82" i="21" s="1"/>
  <c r="U10" i="22"/>
  <c r="U15" i="6"/>
  <c r="U15" i="22"/>
  <c r="U30" i="22" s="1"/>
  <c r="U10" i="6"/>
  <c r="U56" i="6"/>
  <c r="U89" i="6" s="1"/>
  <c r="U19" i="6"/>
  <c r="U25" i="6"/>
  <c r="U39" i="6"/>
  <c r="V36" i="6" s="1"/>
  <c r="S108" i="6"/>
  <c r="S107" i="6"/>
  <c r="S26" i="6"/>
  <c r="S23" i="6"/>
  <c r="S33" i="6"/>
  <c r="K61" i="21" l="1"/>
  <c r="K94" i="21" s="1"/>
  <c r="S112" i="6"/>
  <c r="U117" i="6"/>
  <c r="O83" i="21"/>
  <c r="P75" i="21" s="1"/>
  <c r="O104" i="21"/>
  <c r="O109" i="21" s="1"/>
  <c r="O93" i="21"/>
  <c r="R99" i="21"/>
  <c r="R100" i="21" s="1"/>
  <c r="U16" i="6"/>
  <c r="V14" i="6"/>
  <c r="V8" i="6"/>
  <c r="V12" i="6"/>
  <c r="V8" i="22"/>
  <c r="V14" i="22"/>
  <c r="V12" i="22"/>
  <c r="U16" i="22"/>
  <c r="V37" i="6"/>
  <c r="V38" i="6"/>
  <c r="U30" i="6"/>
  <c r="U21" i="6"/>
  <c r="S113" i="6"/>
  <c r="S27" i="6"/>
  <c r="T57" i="6"/>
  <c r="T90" i="6" s="1"/>
  <c r="L53" i="21" l="1"/>
  <c r="L86" i="21" s="1"/>
  <c r="L118" i="21" s="1"/>
  <c r="U71" i="6"/>
  <c r="U106" i="6" s="1"/>
  <c r="R101" i="21"/>
  <c r="S97" i="21" s="1"/>
  <c r="P80" i="21"/>
  <c r="P82" i="21" s="1"/>
  <c r="R108" i="21"/>
  <c r="R113" i="21"/>
  <c r="R114" i="21" s="1"/>
  <c r="L58" i="21"/>
  <c r="L91" i="21" s="1"/>
  <c r="L119" i="21" s="1"/>
  <c r="V15" i="6"/>
  <c r="V15" i="22"/>
  <c r="V30" i="22" s="1"/>
  <c r="V10" i="6"/>
  <c r="V10" i="22"/>
  <c r="V16" i="22" s="1"/>
  <c r="V56" i="6"/>
  <c r="V89" i="6" s="1"/>
  <c r="V19" i="6"/>
  <c r="V25" i="6"/>
  <c r="V39" i="6"/>
  <c r="W36" i="6" s="1"/>
  <c r="T108" i="6"/>
  <c r="T107" i="6"/>
  <c r="T26" i="6"/>
  <c r="T23" i="6"/>
  <c r="T112" i="6" l="1"/>
  <c r="V117" i="6"/>
  <c r="P83" i="21"/>
  <c r="Q75" i="21" s="1"/>
  <c r="P93" i="21"/>
  <c r="P104" i="21"/>
  <c r="P109" i="21" s="1"/>
  <c r="L61" i="21"/>
  <c r="V16" i="6"/>
  <c r="L120" i="21"/>
  <c r="L122" i="21" s="1"/>
  <c r="S99" i="21"/>
  <c r="W14" i="6"/>
  <c r="W12" i="6"/>
  <c r="W8" i="6"/>
  <c r="W12" i="22"/>
  <c r="W8" i="22"/>
  <c r="W10" i="22" s="1"/>
  <c r="W14" i="22"/>
  <c r="W37" i="6"/>
  <c r="W38" i="6"/>
  <c r="V21" i="6"/>
  <c r="V30" i="6"/>
  <c r="T113" i="6"/>
  <c r="T33" i="6"/>
  <c r="T27" i="6"/>
  <c r="U57" i="6"/>
  <c r="U90" i="6" s="1"/>
  <c r="V71" i="6" l="1"/>
  <c r="V106" i="6" s="1"/>
  <c r="S100" i="21"/>
  <c r="S101" i="21" s="1"/>
  <c r="T97" i="21" s="1"/>
  <c r="M53" i="21"/>
  <c r="L94" i="21"/>
  <c r="Q80" i="21"/>
  <c r="Q82" i="21" s="1"/>
  <c r="W15" i="6"/>
  <c r="W15" i="22"/>
  <c r="W30" i="22" s="1"/>
  <c r="W10" i="6"/>
  <c r="W56" i="6"/>
  <c r="W89" i="6" s="1"/>
  <c r="W19" i="6"/>
  <c r="W39" i="6"/>
  <c r="X36" i="6" s="1"/>
  <c r="W25" i="6"/>
  <c r="W117" i="6" s="1"/>
  <c r="U108" i="6"/>
  <c r="U107" i="6"/>
  <c r="U23" i="6"/>
  <c r="U26" i="6"/>
  <c r="U112" i="6" s="1"/>
  <c r="U33" i="6"/>
  <c r="Q83" i="21" l="1"/>
  <c r="R75" i="21" s="1"/>
  <c r="R80" i="21" s="1"/>
  <c r="R82" i="21" s="1"/>
  <c r="M58" i="21"/>
  <c r="M91" i="21" s="1"/>
  <c r="M119" i="21" s="1"/>
  <c r="M86" i="21"/>
  <c r="M118" i="21" s="1"/>
  <c r="Q104" i="21"/>
  <c r="Q109" i="21" s="1"/>
  <c r="Q93" i="21"/>
  <c r="S113" i="21"/>
  <c r="S114" i="21" s="1"/>
  <c r="S108" i="21"/>
  <c r="W16" i="22"/>
  <c r="T99" i="21"/>
  <c r="T100" i="21" s="1"/>
  <c r="W16" i="6"/>
  <c r="X8" i="6"/>
  <c r="X10" i="6" s="1"/>
  <c r="X14" i="6"/>
  <c r="X12" i="6"/>
  <c r="X14" i="22"/>
  <c r="X8" i="22"/>
  <c r="X12" i="22"/>
  <c r="W30" i="6"/>
  <c r="W71" i="6" s="1"/>
  <c r="W106" i="6" s="1"/>
  <c r="X37" i="6"/>
  <c r="X38" i="6"/>
  <c r="W21" i="6"/>
  <c r="U113" i="6"/>
  <c r="U27" i="6"/>
  <c r="V57" i="6"/>
  <c r="V90" i="6" s="1"/>
  <c r="M120" i="21" l="1"/>
  <c r="M122" i="21" s="1"/>
  <c r="R83" i="21"/>
  <c r="S75" i="21" s="1"/>
  <c r="S80" i="21" s="1"/>
  <c r="S82" i="21" s="1"/>
  <c r="M61" i="21"/>
  <c r="T101" i="21"/>
  <c r="U97" i="21" s="1"/>
  <c r="T108" i="21"/>
  <c r="T113" i="21"/>
  <c r="T114" i="21" s="1"/>
  <c r="R104" i="21"/>
  <c r="R109" i="21" s="1"/>
  <c r="R93" i="21"/>
  <c r="X15" i="6"/>
  <c r="X16" i="6" s="1"/>
  <c r="X15" i="22"/>
  <c r="X30" i="22" s="1"/>
  <c r="X10" i="22"/>
  <c r="X16" i="22" s="1"/>
  <c r="X56" i="6"/>
  <c r="X89" i="6" s="1"/>
  <c r="X19" i="6"/>
  <c r="X25" i="6"/>
  <c r="X117" i="6" s="1"/>
  <c r="X39" i="6"/>
  <c r="Y36" i="6" s="1"/>
  <c r="V108" i="6"/>
  <c r="V23" i="6"/>
  <c r="V107" i="6"/>
  <c r="S83" i="21" l="1"/>
  <c r="T75" i="21" s="1"/>
  <c r="U99" i="21"/>
  <c r="U100" i="21" s="1"/>
  <c r="S104" i="21"/>
  <c r="S109" i="21" s="1"/>
  <c r="S93" i="21"/>
  <c r="M94" i="21"/>
  <c r="N53" i="21"/>
  <c r="F100" i="6"/>
  <c r="F114" i="6" s="1"/>
  <c r="F115" i="6" s="1"/>
  <c r="Y12" i="6"/>
  <c r="E44" i="6" s="1"/>
  <c r="Y14" i="6"/>
  <c r="AB14" i="6" s="1"/>
  <c r="Y8" i="6"/>
  <c r="AB8" i="6" s="1"/>
  <c r="Y8" i="22"/>
  <c r="Y14" i="22"/>
  <c r="Y12" i="22"/>
  <c r="E44" i="22" s="1"/>
  <c r="F100" i="22"/>
  <c r="Y37" i="6"/>
  <c r="Y38" i="6"/>
  <c r="X30" i="6"/>
  <c r="X71" i="6" s="1"/>
  <c r="X106" i="6" s="1"/>
  <c r="X21" i="6"/>
  <c r="V113" i="6"/>
  <c r="W107" i="6"/>
  <c r="W26" i="6"/>
  <c r="W112" i="6" s="1"/>
  <c r="V26" i="6"/>
  <c r="V112" i="6" s="1"/>
  <c r="W57" i="6"/>
  <c r="W90" i="6" s="1"/>
  <c r="AB12" i="6" l="1"/>
  <c r="F101" i="6"/>
  <c r="G97" i="6" s="1"/>
  <c r="G99" i="6" s="1"/>
  <c r="G100" i="6" s="1"/>
  <c r="U101" i="21"/>
  <c r="V97" i="21" s="1"/>
  <c r="U113" i="21"/>
  <c r="U114" i="21" s="1"/>
  <c r="U108" i="21"/>
  <c r="N58" i="21"/>
  <c r="N91" i="21" s="1"/>
  <c r="N119" i="21" s="1"/>
  <c r="N86" i="21"/>
  <c r="N118" i="21" s="1"/>
  <c r="T80" i="21"/>
  <c r="T82" i="21" s="1"/>
  <c r="F109" i="6"/>
  <c r="F113" i="22"/>
  <c r="F108" i="22"/>
  <c r="F101" i="22"/>
  <c r="G97" i="22" s="1"/>
  <c r="Y10" i="22"/>
  <c r="E43" i="22" s="1"/>
  <c r="E42" i="22"/>
  <c r="Y10" i="6"/>
  <c r="E42" i="6"/>
  <c r="Y15" i="6"/>
  <c r="Y15" i="22"/>
  <c r="N59" i="22" s="1"/>
  <c r="Y39" i="6"/>
  <c r="Y25" i="6"/>
  <c r="AB25" i="6" s="1"/>
  <c r="Y19" i="6"/>
  <c r="AB19" i="6" s="1"/>
  <c r="Y56" i="6"/>
  <c r="Y89" i="6" s="1"/>
  <c r="W108" i="6"/>
  <c r="V33" i="6"/>
  <c r="W23" i="6"/>
  <c r="V27" i="6"/>
  <c r="W33" i="6"/>
  <c r="X57" i="6"/>
  <c r="X90" i="6" s="1"/>
  <c r="AB10" i="6" l="1"/>
  <c r="E43" i="6"/>
  <c r="AB16" i="6"/>
  <c r="E45" i="6"/>
  <c r="AB15" i="6"/>
  <c r="T104" i="21"/>
  <c r="T109" i="21" s="1"/>
  <c r="T93" i="21"/>
  <c r="Y16" i="22"/>
  <c r="N61" i="21"/>
  <c r="Y16" i="6"/>
  <c r="N120" i="21"/>
  <c r="N122" i="21" s="1"/>
  <c r="T83" i="21"/>
  <c r="U75" i="21" s="1"/>
  <c r="V99" i="21"/>
  <c r="V100" i="21" s="1"/>
  <c r="G99" i="22"/>
  <c r="G100" i="22" s="1"/>
  <c r="G101" i="22" s="1"/>
  <c r="H97" i="22" s="1"/>
  <c r="Y30" i="22"/>
  <c r="E45" i="22"/>
  <c r="F54" i="22" s="1"/>
  <c r="F114" i="22"/>
  <c r="G114" i="6"/>
  <c r="G109" i="6"/>
  <c r="G101" i="6"/>
  <c r="H97" i="6" s="1"/>
  <c r="Y30" i="6"/>
  <c r="E47" i="6" s="1"/>
  <c r="Y117" i="6"/>
  <c r="AB117" i="6"/>
  <c r="Y21" i="6"/>
  <c r="AB21" i="6" s="1"/>
  <c r="W27" i="6"/>
  <c r="W113" i="6"/>
  <c r="X108" i="6"/>
  <c r="X23" i="6"/>
  <c r="X107" i="6"/>
  <c r="V101" i="21" l="1"/>
  <c r="W97" i="21" s="1"/>
  <c r="W99" i="21" s="1"/>
  <c r="V113" i="21"/>
  <c r="V114" i="21" s="1"/>
  <c r="V108" i="21"/>
  <c r="U80" i="21"/>
  <c r="U82" i="21" s="1"/>
  <c r="N94" i="21"/>
  <c r="O53" i="21"/>
  <c r="F58" i="22"/>
  <c r="Y71" i="6"/>
  <c r="Y106" i="6" s="1"/>
  <c r="H99" i="22"/>
  <c r="H100" i="22" s="1"/>
  <c r="G108" i="22"/>
  <c r="G113" i="22"/>
  <c r="N70" i="22"/>
  <c r="E47" i="22"/>
  <c r="H99" i="6"/>
  <c r="H100" i="6" s="1"/>
  <c r="G115" i="6"/>
  <c r="X113" i="6"/>
  <c r="X26" i="6"/>
  <c r="U83" i="21" l="1"/>
  <c r="V75" i="21" s="1"/>
  <c r="V80" i="21" s="1"/>
  <c r="V82" i="21" s="1"/>
  <c r="V104" i="21" s="1"/>
  <c r="V109" i="21" s="1"/>
  <c r="W100" i="21"/>
  <c r="W101" i="21" s="1"/>
  <c r="X97" i="21" s="1"/>
  <c r="U104" i="21"/>
  <c r="U109" i="21" s="1"/>
  <c r="U93" i="21"/>
  <c r="O86" i="21"/>
  <c r="O118" i="21" s="1"/>
  <c r="O58" i="21"/>
  <c r="O91" i="21" s="1"/>
  <c r="O119" i="21" s="1"/>
  <c r="H113" i="22"/>
  <c r="H114" i="22" s="1"/>
  <c r="H108" i="22"/>
  <c r="F65" i="22"/>
  <c r="E48" i="22"/>
  <c r="G114" i="22"/>
  <c r="H101" i="22"/>
  <c r="I97" i="22" s="1"/>
  <c r="N81" i="22"/>
  <c r="N92" i="22" s="1"/>
  <c r="F61" i="22"/>
  <c r="H101" i="6"/>
  <c r="I97" i="6" s="1"/>
  <c r="H109" i="6"/>
  <c r="H114" i="6"/>
  <c r="H115" i="6" s="1"/>
  <c r="F54" i="6"/>
  <c r="Y57" i="6"/>
  <c r="Y90" i="6" s="1"/>
  <c r="X112" i="6"/>
  <c r="Y108" i="6"/>
  <c r="X33" i="6"/>
  <c r="Y23" i="6"/>
  <c r="X27" i="6"/>
  <c r="AB23" i="6" l="1"/>
  <c r="V83" i="21"/>
  <c r="W75" i="21" s="1"/>
  <c r="W80" i="21" s="1"/>
  <c r="W82" i="21" s="1"/>
  <c r="V93" i="21"/>
  <c r="X99" i="21"/>
  <c r="W113" i="21"/>
  <c r="W114" i="21" s="1"/>
  <c r="W108" i="21"/>
  <c r="O120" i="21"/>
  <c r="O122" i="21" s="1"/>
  <c r="O61" i="21"/>
  <c r="G53" i="22"/>
  <c r="E49" i="22"/>
  <c r="F76" i="22" s="1"/>
  <c r="F87" i="22" s="1"/>
  <c r="F118" i="22" s="1"/>
  <c r="I99" i="22"/>
  <c r="I100" i="22" s="1"/>
  <c r="F69" i="22"/>
  <c r="I99" i="6"/>
  <c r="I100" i="6" s="1"/>
  <c r="F58" i="6"/>
  <c r="Y113" i="6"/>
  <c r="AB108" i="6"/>
  <c r="Y33" i="6"/>
  <c r="Y107" i="6"/>
  <c r="Y26" i="6"/>
  <c r="AB26" i="6" s="1"/>
  <c r="AB27" i="6" l="1"/>
  <c r="W83" i="21"/>
  <c r="X75" i="21" s="1"/>
  <c r="X80" i="21" s="1"/>
  <c r="X82" i="21" s="1"/>
  <c r="X100" i="21"/>
  <c r="O94" i="21"/>
  <c r="P53" i="21"/>
  <c r="W104" i="21"/>
  <c r="W109" i="21" s="1"/>
  <c r="W93" i="21"/>
  <c r="E50" i="22"/>
  <c r="F72" i="22"/>
  <c r="I113" i="22"/>
  <c r="I108" i="22"/>
  <c r="F80" i="22"/>
  <c r="F82" i="22" s="1"/>
  <c r="F83" i="22" s="1"/>
  <c r="G75" i="22" s="1"/>
  <c r="I101" i="22"/>
  <c r="J97" i="22" s="1"/>
  <c r="G58" i="22"/>
  <c r="G61" i="22" s="1"/>
  <c r="I101" i="6"/>
  <c r="J97" i="6" s="1"/>
  <c r="I109" i="6"/>
  <c r="I114" i="6"/>
  <c r="I115" i="6" s="1"/>
  <c r="F61" i="6"/>
  <c r="G53" i="6" s="1"/>
  <c r="AB107" i="6"/>
  <c r="AB113" i="6"/>
  <c r="Y27" i="6"/>
  <c r="Y112" i="6"/>
  <c r="X108" i="21" l="1"/>
  <c r="X113" i="21"/>
  <c r="X114" i="21" s="1"/>
  <c r="X101" i="21"/>
  <c r="Y97" i="21" s="1"/>
  <c r="X83" i="21"/>
  <c r="Y75" i="21" s="1"/>
  <c r="X104" i="21"/>
  <c r="X93" i="21"/>
  <c r="P58" i="21"/>
  <c r="P91" i="21" s="1"/>
  <c r="P119" i="21" s="1"/>
  <c r="P86" i="21"/>
  <c r="P118" i="21" s="1"/>
  <c r="G80" i="22"/>
  <c r="G82" i="22" s="1"/>
  <c r="F104" i="22"/>
  <c r="F93" i="22"/>
  <c r="J99" i="22"/>
  <c r="J100" i="22" s="1"/>
  <c r="F91" i="22"/>
  <c r="F119" i="22" s="1"/>
  <c r="F120" i="22" s="1"/>
  <c r="H53" i="22"/>
  <c r="I114" i="22"/>
  <c r="G64" i="22"/>
  <c r="F94" i="22"/>
  <c r="J99" i="6"/>
  <c r="J100" i="6" s="1"/>
  <c r="E48" i="6"/>
  <c r="F65" i="6"/>
  <c r="AB106" i="6"/>
  <c r="X109" i="21" l="1"/>
  <c r="Y99" i="21"/>
  <c r="Y100" i="21" s="1"/>
  <c r="P120" i="21"/>
  <c r="P122" i="21" s="1"/>
  <c r="Y80" i="21"/>
  <c r="Y82" i="21" s="1"/>
  <c r="P61" i="21"/>
  <c r="E49" i="6"/>
  <c r="F76" i="6" s="1"/>
  <c r="G83" i="22"/>
  <c r="H75" i="22" s="1"/>
  <c r="H80" i="22" s="1"/>
  <c r="J108" i="22"/>
  <c r="J113" i="22"/>
  <c r="J101" i="22"/>
  <c r="K97" i="22" s="1"/>
  <c r="G69" i="22"/>
  <c r="G86" i="22"/>
  <c r="G118" i="22" s="1"/>
  <c r="G104" i="22"/>
  <c r="G109" i="22" s="1"/>
  <c r="G93" i="22"/>
  <c r="F109" i="22"/>
  <c r="F122" i="22" s="1"/>
  <c r="H58" i="22"/>
  <c r="H61" i="22" s="1"/>
  <c r="J101" i="6"/>
  <c r="K97" i="6" s="1"/>
  <c r="K99" i="6" s="1"/>
  <c r="K100" i="6" s="1"/>
  <c r="J109" i="6"/>
  <c r="J114" i="6"/>
  <c r="J115" i="6" s="1"/>
  <c r="G58" i="6"/>
  <c r="F69" i="6"/>
  <c r="F72" i="6" s="1"/>
  <c r="Y101" i="21" l="1"/>
  <c r="Y108" i="21"/>
  <c r="AB108" i="21" s="1"/>
  <c r="Y113" i="21"/>
  <c r="Y83" i="21"/>
  <c r="Y104" i="21"/>
  <c r="Y93" i="21"/>
  <c r="P94" i="21"/>
  <c r="Q53" i="21"/>
  <c r="E50" i="6"/>
  <c r="F80" i="6"/>
  <c r="F82" i="6" s="1"/>
  <c r="F105" i="6" s="1"/>
  <c r="F87" i="6"/>
  <c r="F119" i="6" s="1"/>
  <c r="H82" i="22"/>
  <c r="H83" i="22" s="1"/>
  <c r="I75" i="22" s="1"/>
  <c r="I80" i="22" s="1"/>
  <c r="G72" i="22"/>
  <c r="G91" i="22"/>
  <c r="G119" i="22" s="1"/>
  <c r="G120" i="22" s="1"/>
  <c r="G122" i="22" s="1"/>
  <c r="I53" i="22"/>
  <c r="K99" i="22"/>
  <c r="K100" i="22" s="1"/>
  <c r="J114" i="22"/>
  <c r="K101" i="6"/>
  <c r="L97" i="6" s="1"/>
  <c r="K109" i="6"/>
  <c r="K114" i="6"/>
  <c r="K115" i="6" s="1"/>
  <c r="G61" i="6"/>
  <c r="G64" i="6"/>
  <c r="Y114" i="21" l="1"/>
  <c r="AB113" i="21"/>
  <c r="AB114" i="21" s="1"/>
  <c r="F91" i="6"/>
  <c r="F120" i="6" s="1"/>
  <c r="Q86" i="21"/>
  <c r="Q118" i="21" s="1"/>
  <c r="Q58" i="21"/>
  <c r="Q91" i="21" s="1"/>
  <c r="Q119" i="21" s="1"/>
  <c r="Y109" i="21"/>
  <c r="AB104" i="21"/>
  <c r="AB109" i="21" s="1"/>
  <c r="F93" i="6"/>
  <c r="H93" i="22"/>
  <c r="H104" i="22"/>
  <c r="H109" i="22" s="1"/>
  <c r="F83" i="6"/>
  <c r="G75" i="6" s="1"/>
  <c r="G80" i="6" s="1"/>
  <c r="I82" i="22"/>
  <c r="I83" i="22" s="1"/>
  <c r="J75" i="22" s="1"/>
  <c r="H64" i="22"/>
  <c r="G94" i="22"/>
  <c r="I58" i="22"/>
  <c r="I61" i="22" s="1"/>
  <c r="K113" i="22"/>
  <c r="K108" i="22"/>
  <c r="K101" i="22"/>
  <c r="L97" i="22" s="1"/>
  <c r="L99" i="6"/>
  <c r="L100" i="6" s="1"/>
  <c r="F110" i="6"/>
  <c r="G69" i="6"/>
  <c r="G72" i="6" s="1"/>
  <c r="H64" i="6" s="1"/>
  <c r="H69" i="6" s="1"/>
  <c r="H72" i="6" s="1"/>
  <c r="I64" i="6" s="1"/>
  <c r="I69" i="6" s="1"/>
  <c r="I72" i="6" s="1"/>
  <c r="J64" i="6" s="1"/>
  <c r="J69" i="6" s="1"/>
  <c r="J72" i="6" s="1"/>
  <c r="K64" i="6" s="1"/>
  <c r="K69" i="6" s="1"/>
  <c r="K72" i="6" s="1"/>
  <c r="L64" i="6" s="1"/>
  <c r="L69" i="6" s="1"/>
  <c r="L72" i="6" s="1"/>
  <c r="M64" i="6" s="1"/>
  <c r="M69" i="6" s="1"/>
  <c r="M72" i="6" s="1"/>
  <c r="N64" i="6" s="1"/>
  <c r="N69" i="6" s="1"/>
  <c r="N72" i="6" s="1"/>
  <c r="O64" i="6" s="1"/>
  <c r="O69" i="6" s="1"/>
  <c r="O72" i="6" s="1"/>
  <c r="P64" i="6" s="1"/>
  <c r="P69" i="6" s="1"/>
  <c r="P72" i="6" s="1"/>
  <c r="Q64" i="6" s="1"/>
  <c r="Q69" i="6" s="1"/>
  <c r="Q72" i="6" s="1"/>
  <c r="R64" i="6" s="1"/>
  <c r="R69" i="6" s="1"/>
  <c r="R72" i="6" s="1"/>
  <c r="S64" i="6" s="1"/>
  <c r="S69" i="6" s="1"/>
  <c r="S72" i="6" s="1"/>
  <c r="T64" i="6" s="1"/>
  <c r="T69" i="6" s="1"/>
  <c r="T72" i="6" s="1"/>
  <c r="U64" i="6" s="1"/>
  <c r="U69" i="6" s="1"/>
  <c r="U72" i="6" s="1"/>
  <c r="V64" i="6" s="1"/>
  <c r="V69" i="6" s="1"/>
  <c r="V72" i="6" s="1"/>
  <c r="W64" i="6" s="1"/>
  <c r="W69" i="6" s="1"/>
  <c r="W72" i="6" s="1"/>
  <c r="X64" i="6" s="1"/>
  <c r="X69" i="6" s="1"/>
  <c r="X72" i="6" s="1"/>
  <c r="Y64" i="6" s="1"/>
  <c r="Y69" i="6" s="1"/>
  <c r="Y72" i="6" s="1"/>
  <c r="H53" i="6"/>
  <c r="Q61" i="21" l="1"/>
  <c r="Q120" i="21"/>
  <c r="Q122" i="21" s="1"/>
  <c r="G86" i="6"/>
  <c r="G119" i="6" s="1"/>
  <c r="F94" i="6"/>
  <c r="G82" i="6"/>
  <c r="G105" i="6" s="1"/>
  <c r="G110" i="6" s="1"/>
  <c r="J80" i="22"/>
  <c r="J82" i="22" s="1"/>
  <c r="I104" i="22"/>
  <c r="I109" i="22" s="1"/>
  <c r="I93" i="22"/>
  <c r="K114" i="22"/>
  <c r="J53" i="22"/>
  <c r="H69" i="22"/>
  <c r="H86" i="22"/>
  <c r="H118" i="22" s="1"/>
  <c r="L99" i="22"/>
  <c r="L100" i="22" s="1"/>
  <c r="L101" i="6"/>
  <c r="M97" i="6" s="1"/>
  <c r="M99" i="6" s="1"/>
  <c r="M100" i="6" s="1"/>
  <c r="L109" i="6"/>
  <c r="L114" i="6"/>
  <c r="L115" i="6" s="1"/>
  <c r="G91" i="6"/>
  <c r="G120" i="6" s="1"/>
  <c r="H58" i="6"/>
  <c r="Q94" i="21" l="1"/>
  <c r="R53" i="21"/>
  <c r="G93" i="6"/>
  <c r="G83" i="6"/>
  <c r="H75" i="6" s="1"/>
  <c r="H80" i="6" s="1"/>
  <c r="J83" i="22"/>
  <c r="K75" i="22" s="1"/>
  <c r="J104" i="22"/>
  <c r="J109" i="22" s="1"/>
  <c r="J93" i="22"/>
  <c r="L101" i="22"/>
  <c r="M97" i="22" s="1"/>
  <c r="M99" i="22" s="1"/>
  <c r="M100" i="22" s="1"/>
  <c r="L108" i="22"/>
  <c r="L113" i="22"/>
  <c r="L114" i="22" s="1"/>
  <c r="H72" i="22"/>
  <c r="H91" i="22"/>
  <c r="H119" i="22" s="1"/>
  <c r="H120" i="22" s="1"/>
  <c r="H122" i="22" s="1"/>
  <c r="J58" i="22"/>
  <c r="J61" i="22" s="1"/>
  <c r="M101" i="6"/>
  <c r="N97" i="6" s="1"/>
  <c r="N99" i="6" s="1"/>
  <c r="N100" i="6" s="1"/>
  <c r="M114" i="6"/>
  <c r="M115" i="6" s="1"/>
  <c r="M109" i="6"/>
  <c r="H61" i="6"/>
  <c r="G94" i="6" l="1"/>
  <c r="R58" i="21"/>
  <c r="R91" i="21" s="1"/>
  <c r="R119" i="21" s="1"/>
  <c r="R86" i="21"/>
  <c r="R118" i="21" s="1"/>
  <c r="K80" i="22"/>
  <c r="K82" i="22" s="1"/>
  <c r="I64" i="22"/>
  <c r="H94" i="22"/>
  <c r="K53" i="22"/>
  <c r="M101" i="22"/>
  <c r="N97" i="22" s="1"/>
  <c r="M113" i="22"/>
  <c r="M114" i="22" s="1"/>
  <c r="M108" i="22"/>
  <c r="N101" i="6"/>
  <c r="O97" i="6" s="1"/>
  <c r="O99" i="6" s="1"/>
  <c r="O100" i="6" s="1"/>
  <c r="N114" i="6"/>
  <c r="N115" i="6" s="1"/>
  <c r="N109" i="6"/>
  <c r="I53" i="6"/>
  <c r="H86" i="6"/>
  <c r="H119" i="6" s="1"/>
  <c r="R120" i="21" l="1"/>
  <c r="R122" i="21" s="1"/>
  <c r="R61" i="21"/>
  <c r="S53" i="21" s="1"/>
  <c r="K83" i="22"/>
  <c r="L75" i="22" s="1"/>
  <c r="K104" i="22"/>
  <c r="K109" i="22" s="1"/>
  <c r="K93" i="22"/>
  <c r="N99" i="22"/>
  <c r="N100" i="22" s="1"/>
  <c r="N101" i="22" s="1"/>
  <c r="O97" i="22" s="1"/>
  <c r="K58" i="22"/>
  <c r="K61" i="22" s="1"/>
  <c r="I69" i="22"/>
  <c r="I86" i="22"/>
  <c r="I118" i="22" s="1"/>
  <c r="O101" i="6"/>
  <c r="P97" i="6" s="1"/>
  <c r="O114" i="6"/>
  <c r="O115" i="6" s="1"/>
  <c r="O109" i="6"/>
  <c r="H82" i="6"/>
  <c r="H105" i="6" s="1"/>
  <c r="H91" i="6"/>
  <c r="H120" i="6" s="1"/>
  <c r="I58" i="6"/>
  <c r="R94" i="21" l="1"/>
  <c r="S86" i="21"/>
  <c r="S118" i="21" s="1"/>
  <c r="S58" i="21"/>
  <c r="S91" i="21" s="1"/>
  <c r="S119" i="21" s="1"/>
  <c r="L80" i="22"/>
  <c r="L82" i="22" s="1"/>
  <c r="O99" i="22"/>
  <c r="O100" i="22" s="1"/>
  <c r="L53" i="22"/>
  <c r="I72" i="22"/>
  <c r="I91" i="22"/>
  <c r="I119" i="22" s="1"/>
  <c r="I120" i="22" s="1"/>
  <c r="I122" i="22" s="1"/>
  <c r="N108" i="22"/>
  <c r="N113" i="22"/>
  <c r="N114" i="22" s="1"/>
  <c r="P99" i="6"/>
  <c r="P100" i="6" s="1"/>
  <c r="H110" i="6"/>
  <c r="I61" i="6"/>
  <c r="H83" i="6"/>
  <c r="H93" i="6"/>
  <c r="S61" i="21" l="1"/>
  <c r="S94" i="21" s="1"/>
  <c r="S120" i="21"/>
  <c r="S122" i="21" s="1"/>
  <c r="O101" i="22"/>
  <c r="P97" i="22" s="1"/>
  <c r="P99" i="22" s="1"/>
  <c r="P100" i="22" s="1"/>
  <c r="P101" i="22" s="1"/>
  <c r="Q97" i="22" s="1"/>
  <c r="L83" i="22"/>
  <c r="M75" i="22" s="1"/>
  <c r="M80" i="22" s="1"/>
  <c r="M82" i="22" s="1"/>
  <c r="L93" i="22"/>
  <c r="L104" i="22"/>
  <c r="L109" i="22" s="1"/>
  <c r="L58" i="22"/>
  <c r="L61" i="22" s="1"/>
  <c r="J64" i="22"/>
  <c r="I94" i="22"/>
  <c r="O108" i="22"/>
  <c r="O113" i="22"/>
  <c r="O114" i="22" s="1"/>
  <c r="P101" i="6"/>
  <c r="Q97" i="6" s="1"/>
  <c r="P109" i="6"/>
  <c r="P114" i="6"/>
  <c r="P115" i="6" s="1"/>
  <c r="I75" i="6"/>
  <c r="I80" i="6" s="1"/>
  <c r="H94" i="6"/>
  <c r="J53" i="6"/>
  <c r="T53" i="21" l="1"/>
  <c r="T58" i="21" s="1"/>
  <c r="T91" i="21" s="1"/>
  <c r="T119" i="21" s="1"/>
  <c r="M83" i="22"/>
  <c r="N75" i="22" s="1"/>
  <c r="M93" i="22"/>
  <c r="M104" i="22"/>
  <c r="M109" i="22" s="1"/>
  <c r="M53" i="22"/>
  <c r="J69" i="22"/>
  <c r="J86" i="22"/>
  <c r="J118" i="22" s="1"/>
  <c r="Q99" i="22"/>
  <c r="Q100" i="22" s="1"/>
  <c r="P108" i="22"/>
  <c r="P113" i="22"/>
  <c r="P114" i="22" s="1"/>
  <c r="Q99" i="6"/>
  <c r="Q100" i="6" s="1"/>
  <c r="J58" i="6"/>
  <c r="I91" i="6"/>
  <c r="I120" i="6" s="1"/>
  <c r="I86" i="6"/>
  <c r="I119" i="6" s="1"/>
  <c r="T86" i="21" l="1"/>
  <c r="T118" i="21" s="1"/>
  <c r="T61" i="21"/>
  <c r="T120" i="21"/>
  <c r="T122" i="21" s="1"/>
  <c r="N80" i="22"/>
  <c r="N82" i="22" s="1"/>
  <c r="J72" i="22"/>
  <c r="J91" i="22"/>
  <c r="J119" i="22" s="1"/>
  <c r="J120" i="22" s="1"/>
  <c r="J122" i="22" s="1"/>
  <c r="Q108" i="22"/>
  <c r="Q113" i="22"/>
  <c r="Q114" i="22" s="1"/>
  <c r="Q101" i="22"/>
  <c r="R97" i="22" s="1"/>
  <c r="M58" i="22"/>
  <c r="M61" i="22" s="1"/>
  <c r="Q101" i="6"/>
  <c r="R97" i="6" s="1"/>
  <c r="R99" i="6" s="1"/>
  <c r="R100" i="6" s="1"/>
  <c r="Q114" i="6"/>
  <c r="Q115" i="6" s="1"/>
  <c r="Q109" i="6"/>
  <c r="I82" i="6"/>
  <c r="I105" i="6" s="1"/>
  <c r="J61" i="6"/>
  <c r="T94" i="21" l="1"/>
  <c r="U53" i="21"/>
  <c r="N104" i="22"/>
  <c r="N109" i="22" s="1"/>
  <c r="N93" i="22"/>
  <c r="N83" i="22"/>
  <c r="O75" i="22" s="1"/>
  <c r="N53" i="22"/>
  <c r="K64" i="22"/>
  <c r="J94" i="22"/>
  <c r="R99" i="22"/>
  <c r="R100" i="22" s="1"/>
  <c r="R101" i="6"/>
  <c r="S97" i="6" s="1"/>
  <c r="S99" i="6" s="1"/>
  <c r="S100" i="6" s="1"/>
  <c r="R109" i="6"/>
  <c r="R114" i="6"/>
  <c r="R115" i="6" s="1"/>
  <c r="I110" i="6"/>
  <c r="K53" i="6"/>
  <c r="I83" i="6"/>
  <c r="I93" i="6"/>
  <c r="U86" i="21" l="1"/>
  <c r="U118" i="21" s="1"/>
  <c r="U58" i="21"/>
  <c r="U91" i="21" s="1"/>
  <c r="U119" i="21" s="1"/>
  <c r="O80" i="22"/>
  <c r="O82" i="22" s="1"/>
  <c r="R108" i="22"/>
  <c r="R113" i="22"/>
  <c r="R114" i="22" s="1"/>
  <c r="K69" i="22"/>
  <c r="K86" i="22"/>
  <c r="K118" i="22" s="1"/>
  <c r="N58" i="22"/>
  <c r="R101" i="22"/>
  <c r="S97" i="22" s="1"/>
  <c r="S101" i="6"/>
  <c r="T97" i="6" s="1"/>
  <c r="T99" i="6" s="1"/>
  <c r="T100" i="6" s="1"/>
  <c r="S114" i="6"/>
  <c r="S115" i="6" s="1"/>
  <c r="S109" i="6"/>
  <c r="J75" i="6"/>
  <c r="J80" i="6" s="1"/>
  <c r="I94" i="6"/>
  <c r="K58" i="6"/>
  <c r="AB112" i="6"/>
  <c r="U61" i="21" l="1"/>
  <c r="U120" i="21"/>
  <c r="U122" i="21" s="1"/>
  <c r="O83" i="22"/>
  <c r="P75" i="22" s="1"/>
  <c r="O93" i="22"/>
  <c r="O104" i="22"/>
  <c r="O109" i="22" s="1"/>
  <c r="K72" i="22"/>
  <c r="K91" i="22"/>
  <c r="K119" i="22" s="1"/>
  <c r="K120" i="22" s="1"/>
  <c r="K122" i="22" s="1"/>
  <c r="N61" i="22"/>
  <c r="S99" i="22"/>
  <c r="S100" i="22" s="1"/>
  <c r="T101" i="6"/>
  <c r="U97" i="6" s="1"/>
  <c r="T114" i="6"/>
  <c r="T115" i="6" s="1"/>
  <c r="T109" i="6"/>
  <c r="K61" i="6"/>
  <c r="J86" i="6"/>
  <c r="J119" i="6" s="1"/>
  <c r="U94" i="21" l="1"/>
  <c r="V53" i="21"/>
  <c r="P80" i="22"/>
  <c r="P82" i="22" s="1"/>
  <c r="P83" i="22" s="1"/>
  <c r="Q75" i="22" s="1"/>
  <c r="S108" i="22"/>
  <c r="S113" i="22"/>
  <c r="S114" i="22" s="1"/>
  <c r="L64" i="22"/>
  <c r="K94" i="22"/>
  <c r="S101" i="22"/>
  <c r="T97" i="22" s="1"/>
  <c r="O53" i="22"/>
  <c r="U99" i="6"/>
  <c r="U100" i="6" s="1"/>
  <c r="J82" i="6"/>
  <c r="J105" i="6" s="1"/>
  <c r="J91" i="6"/>
  <c r="J120" i="6" s="1"/>
  <c r="L53" i="6"/>
  <c r="V86" i="21" l="1"/>
  <c r="V118" i="21" s="1"/>
  <c r="V58" i="21"/>
  <c r="V91" i="21" s="1"/>
  <c r="V119" i="21" s="1"/>
  <c r="Q80" i="22"/>
  <c r="Q82" i="22" s="1"/>
  <c r="P104" i="22"/>
  <c r="P109" i="22" s="1"/>
  <c r="P93" i="22"/>
  <c r="L69" i="22"/>
  <c r="L86" i="22"/>
  <c r="L118" i="22" s="1"/>
  <c r="O58" i="22"/>
  <c r="T99" i="22"/>
  <c r="T100" i="22" s="1"/>
  <c r="U101" i="6"/>
  <c r="V97" i="6" s="1"/>
  <c r="V99" i="6" s="1"/>
  <c r="V100" i="6" s="1"/>
  <c r="U114" i="6"/>
  <c r="U115" i="6" s="1"/>
  <c r="U109" i="6"/>
  <c r="J110" i="6"/>
  <c r="L58" i="6"/>
  <c r="J83" i="6"/>
  <c r="J93" i="6"/>
  <c r="V61" i="21" l="1"/>
  <c r="V94" i="21" s="1"/>
  <c r="V120" i="21"/>
  <c r="V122" i="21" s="1"/>
  <c r="Q83" i="22"/>
  <c r="R75" i="22" s="1"/>
  <c r="Q93" i="22"/>
  <c r="Q104" i="22"/>
  <c r="Q109" i="22" s="1"/>
  <c r="T108" i="22"/>
  <c r="T113" i="22"/>
  <c r="T114" i="22" s="1"/>
  <c r="O61" i="22"/>
  <c r="L72" i="22"/>
  <c r="L91" i="22"/>
  <c r="L119" i="22" s="1"/>
  <c r="L120" i="22" s="1"/>
  <c r="L122" i="22" s="1"/>
  <c r="T101" i="22"/>
  <c r="U97" i="22" s="1"/>
  <c r="V101" i="6"/>
  <c r="W97" i="6" s="1"/>
  <c r="W99" i="6" s="1"/>
  <c r="W100" i="6" s="1"/>
  <c r="V114" i="6"/>
  <c r="V115" i="6" s="1"/>
  <c r="V109" i="6"/>
  <c r="K75" i="6"/>
  <c r="K80" i="6" s="1"/>
  <c r="J94" i="6"/>
  <c r="L61" i="6"/>
  <c r="W53" i="21" l="1"/>
  <c r="W86" i="21" s="1"/>
  <c r="W118" i="21" s="1"/>
  <c r="W58" i="21"/>
  <c r="W91" i="21" s="1"/>
  <c r="W119" i="21" s="1"/>
  <c r="R80" i="22"/>
  <c r="R82" i="22" s="1"/>
  <c r="R83" i="22" s="1"/>
  <c r="S75" i="22" s="1"/>
  <c r="M64" i="22"/>
  <c r="L94" i="22"/>
  <c r="P53" i="22"/>
  <c r="U99" i="22"/>
  <c r="U100" i="22" s="1"/>
  <c r="W101" i="6"/>
  <c r="X97" i="6" s="1"/>
  <c r="X99" i="6" s="1"/>
  <c r="X100" i="6" s="1"/>
  <c r="W114" i="6"/>
  <c r="W115" i="6" s="1"/>
  <c r="W109" i="6"/>
  <c r="M53" i="6"/>
  <c r="K86" i="6"/>
  <c r="K119" i="6" s="1"/>
  <c r="W120" i="21" l="1"/>
  <c r="W122" i="21" s="1"/>
  <c r="W61" i="21"/>
  <c r="W94" i="21" s="1"/>
  <c r="S80" i="22"/>
  <c r="S82" i="22" s="1"/>
  <c r="R104" i="22"/>
  <c r="R109" i="22" s="1"/>
  <c r="R93" i="22"/>
  <c r="U108" i="22"/>
  <c r="U113" i="22"/>
  <c r="U114" i="22" s="1"/>
  <c r="P58" i="22"/>
  <c r="P61" i="22" s="1"/>
  <c r="U101" i="22"/>
  <c r="V97" i="22" s="1"/>
  <c r="M69" i="22"/>
  <c r="M86" i="22"/>
  <c r="M118" i="22" s="1"/>
  <c r="X101" i="6"/>
  <c r="Y97" i="6" s="1"/>
  <c r="Y99" i="6" s="1"/>
  <c r="Y100" i="6" s="1"/>
  <c r="X109" i="6"/>
  <c r="X114" i="6"/>
  <c r="K82" i="6"/>
  <c r="K105" i="6" s="1"/>
  <c r="K91" i="6"/>
  <c r="K120" i="6" s="1"/>
  <c r="M58" i="6"/>
  <c r="X53" i="21" l="1"/>
  <c r="X58" i="21" s="1"/>
  <c r="X91" i="21" s="1"/>
  <c r="X119" i="21" s="1"/>
  <c r="X86" i="21"/>
  <c r="X118" i="21" s="1"/>
  <c r="S83" i="22"/>
  <c r="T75" i="22" s="1"/>
  <c r="T80" i="22" s="1"/>
  <c r="T82" i="22" s="1"/>
  <c r="T83" i="22" s="1"/>
  <c r="U75" i="22" s="1"/>
  <c r="S93" i="22"/>
  <c r="S104" i="22"/>
  <c r="S109" i="22" s="1"/>
  <c r="Q53" i="22"/>
  <c r="M72" i="22"/>
  <c r="M91" i="22"/>
  <c r="M119" i="22" s="1"/>
  <c r="M120" i="22" s="1"/>
  <c r="M122" i="22" s="1"/>
  <c r="V99" i="22"/>
  <c r="V100" i="22" s="1"/>
  <c r="V101" i="22" s="1"/>
  <c r="W97" i="22" s="1"/>
  <c r="Y101" i="6"/>
  <c r="Y109" i="6"/>
  <c r="AB109" i="6" s="1"/>
  <c r="Y114" i="6"/>
  <c r="Y115" i="6" s="1"/>
  <c r="X115" i="6"/>
  <c r="K110" i="6"/>
  <c r="M61" i="6"/>
  <c r="K83" i="6"/>
  <c r="K93" i="6"/>
  <c r="X61" i="21" l="1"/>
  <c r="X120" i="21"/>
  <c r="X122" i="21" s="1"/>
  <c r="U80" i="22"/>
  <c r="U82" i="22" s="1"/>
  <c r="T104" i="22"/>
  <c r="T109" i="22" s="1"/>
  <c r="T93" i="22"/>
  <c r="AB114" i="6"/>
  <c r="AB115" i="6" s="1"/>
  <c r="W99" i="22"/>
  <c r="W100" i="22" s="1"/>
  <c r="Q58" i="22"/>
  <c r="Q61" i="22" s="1"/>
  <c r="N64" i="22"/>
  <c r="M94" i="22"/>
  <c r="V108" i="22"/>
  <c r="V113" i="22"/>
  <c r="V114" i="22" s="1"/>
  <c r="N53" i="6"/>
  <c r="L75" i="6"/>
  <c r="L80" i="6" s="1"/>
  <c r="K94" i="6"/>
  <c r="X94" i="21" l="1"/>
  <c r="Y53" i="21"/>
  <c r="U83" i="22"/>
  <c r="V75" i="22" s="1"/>
  <c r="V80" i="22" s="1"/>
  <c r="V82" i="22" s="1"/>
  <c r="V83" i="22" s="1"/>
  <c r="W75" i="22" s="1"/>
  <c r="W80" i="22" s="1"/>
  <c r="W82" i="22" s="1"/>
  <c r="U93" i="22"/>
  <c r="U104" i="22"/>
  <c r="U109" i="22" s="1"/>
  <c r="W101" i="22"/>
  <c r="X97" i="22" s="1"/>
  <c r="X99" i="22" s="1"/>
  <c r="N69" i="22"/>
  <c r="N86" i="22"/>
  <c r="N118" i="22" s="1"/>
  <c r="R53" i="22"/>
  <c r="W108" i="22"/>
  <c r="W113" i="22"/>
  <c r="W114" i="22" s="1"/>
  <c r="L86" i="6"/>
  <c r="L119" i="6" s="1"/>
  <c r="N58" i="6"/>
  <c r="Y86" i="21" l="1"/>
  <c r="Y118" i="21" s="1"/>
  <c r="AC122" i="21" s="1"/>
  <c r="Y58" i="21"/>
  <c r="Y91" i="21" s="1"/>
  <c r="Y119" i="21" s="1"/>
  <c r="AB119" i="21" s="1"/>
  <c r="V104" i="22"/>
  <c r="V109" i="22" s="1"/>
  <c r="V93" i="22"/>
  <c r="X100" i="22"/>
  <c r="X101" i="22" s="1"/>
  <c r="Y97" i="22" s="1"/>
  <c r="W83" i="22"/>
  <c r="X75" i="22" s="1"/>
  <c r="X80" i="22" s="1"/>
  <c r="X82" i="22" s="1"/>
  <c r="N72" i="22"/>
  <c r="N91" i="22"/>
  <c r="N119" i="22" s="1"/>
  <c r="N120" i="22" s="1"/>
  <c r="N122" i="22" s="1"/>
  <c r="W93" i="22"/>
  <c r="W104" i="22"/>
  <c r="W109" i="22" s="1"/>
  <c r="R58" i="22"/>
  <c r="N61" i="6"/>
  <c r="L82" i="6"/>
  <c r="L105" i="6" s="1"/>
  <c r="L91" i="6"/>
  <c r="L120" i="6" s="1"/>
  <c r="X113" i="22" l="1"/>
  <c r="X114" i="22" s="1"/>
  <c r="X108" i="22"/>
  <c r="Y61" i="21"/>
  <c r="Y94" i="21" s="1"/>
  <c r="Y120" i="21"/>
  <c r="Y122" i="21" s="1"/>
  <c r="AB118" i="21"/>
  <c r="AB120" i="21" s="1"/>
  <c r="AB122" i="21" s="1"/>
  <c r="AD122" i="21" s="1"/>
  <c r="X83" i="22"/>
  <c r="Y75" i="22" s="1"/>
  <c r="X104" i="22"/>
  <c r="X109" i="22" s="1"/>
  <c r="X93" i="22"/>
  <c r="Y99" i="22"/>
  <c r="Y100" i="22" s="1"/>
  <c r="R61" i="22"/>
  <c r="O64" i="22"/>
  <c r="N94" i="22"/>
  <c r="L110" i="6"/>
  <c r="L93" i="6"/>
  <c r="L83" i="6"/>
  <c r="O53" i="6"/>
  <c r="Y101" i="22" l="1"/>
  <c r="S53" i="22"/>
  <c r="Y108" i="22"/>
  <c r="AB108" i="22" s="1"/>
  <c r="Y113" i="22"/>
  <c r="O69" i="22"/>
  <c r="O86" i="22"/>
  <c r="O118" i="22" s="1"/>
  <c r="Y80" i="22"/>
  <c r="Y82" i="22" s="1"/>
  <c r="O58" i="6"/>
  <c r="M75" i="6"/>
  <c r="M80" i="6" s="1"/>
  <c r="L94" i="6"/>
  <c r="Y104" i="22" l="1"/>
  <c r="Y93" i="22"/>
  <c r="O72" i="22"/>
  <c r="O91" i="22"/>
  <c r="O119" i="22" s="1"/>
  <c r="O120" i="22" s="1"/>
  <c r="O122" i="22" s="1"/>
  <c r="Y114" i="22"/>
  <c r="AB113" i="22"/>
  <c r="AB114" i="22" s="1"/>
  <c r="Y83" i="22"/>
  <c r="S58" i="22"/>
  <c r="M91" i="6"/>
  <c r="M120" i="6" s="1"/>
  <c r="M86" i="6"/>
  <c r="M119" i="6" s="1"/>
  <c r="O61" i="6"/>
  <c r="P64" i="22" l="1"/>
  <c r="O94" i="22"/>
  <c r="S61" i="22"/>
  <c r="Y109" i="22"/>
  <c r="AB104" i="22"/>
  <c r="AB109" i="22" s="1"/>
  <c r="M82" i="6"/>
  <c r="M105" i="6" s="1"/>
  <c r="P53" i="6"/>
  <c r="T53" i="22" l="1"/>
  <c r="P69" i="22"/>
  <c r="P86" i="22"/>
  <c r="P118" i="22" s="1"/>
  <c r="M93" i="6"/>
  <c r="M83" i="6"/>
  <c r="M94" i="6" s="1"/>
  <c r="M110" i="6"/>
  <c r="P58" i="6"/>
  <c r="T58" i="22" l="1"/>
  <c r="T61" i="22" s="1"/>
  <c r="P72" i="22"/>
  <c r="P91" i="22"/>
  <c r="P119" i="22" s="1"/>
  <c r="P120" i="22" s="1"/>
  <c r="P122" i="22" s="1"/>
  <c r="N75" i="6"/>
  <c r="N80" i="6" s="1"/>
  <c r="P61" i="6"/>
  <c r="Q64" i="22" l="1"/>
  <c r="P94" i="22"/>
  <c r="U53" i="22"/>
  <c r="N86" i="6"/>
  <c r="N119" i="6" s="1"/>
  <c r="N82" i="6"/>
  <c r="N105" i="6" s="1"/>
  <c r="N91" i="6"/>
  <c r="N120" i="6" s="1"/>
  <c r="Q53" i="6"/>
  <c r="U58" i="22" l="1"/>
  <c r="Q69" i="22"/>
  <c r="Q86" i="22"/>
  <c r="Q118" i="22" s="1"/>
  <c r="N110" i="6"/>
  <c r="Q58" i="6"/>
  <c r="N83" i="6"/>
  <c r="N93" i="6"/>
  <c r="Q72" i="22" l="1"/>
  <c r="Q91" i="22"/>
  <c r="Q119" i="22" s="1"/>
  <c r="Q120" i="22" s="1"/>
  <c r="Q122" i="22" s="1"/>
  <c r="U61" i="22"/>
  <c r="O75" i="6"/>
  <c r="O80" i="6" s="1"/>
  <c r="N94" i="6"/>
  <c r="Q61" i="6"/>
  <c r="V53" i="22" l="1"/>
  <c r="R64" i="22"/>
  <c r="Q94" i="22"/>
  <c r="R53" i="6"/>
  <c r="O86" i="6"/>
  <c r="O119" i="6" s="1"/>
  <c r="R69" i="22" l="1"/>
  <c r="R86" i="22"/>
  <c r="R118" i="22" s="1"/>
  <c r="V58" i="22"/>
  <c r="V61" i="22" s="1"/>
  <c r="O82" i="6"/>
  <c r="O105" i="6" s="1"/>
  <c r="O91" i="6"/>
  <c r="O120" i="6" s="1"/>
  <c r="R58" i="6"/>
  <c r="W53" i="22" l="1"/>
  <c r="R72" i="22"/>
  <c r="R91" i="22"/>
  <c r="R119" i="22" s="1"/>
  <c r="R120" i="22" s="1"/>
  <c r="R122" i="22" s="1"/>
  <c r="O110" i="6"/>
  <c r="R61" i="6"/>
  <c r="O93" i="6"/>
  <c r="O83" i="6"/>
  <c r="S64" i="22" l="1"/>
  <c r="R94" i="22"/>
  <c r="W58" i="22"/>
  <c r="W61" i="22" s="1"/>
  <c r="P75" i="6"/>
  <c r="P80" i="6" s="1"/>
  <c r="O94" i="6"/>
  <c r="S53" i="6"/>
  <c r="X53" i="22" l="1"/>
  <c r="S69" i="22"/>
  <c r="S86" i="22"/>
  <c r="S118" i="22" s="1"/>
  <c r="S58" i="6"/>
  <c r="P91" i="6"/>
  <c r="P120" i="6" s="1"/>
  <c r="P86" i="6"/>
  <c r="P119" i="6" s="1"/>
  <c r="S72" i="22" l="1"/>
  <c r="S91" i="22"/>
  <c r="S119" i="22" s="1"/>
  <c r="S120" i="22" s="1"/>
  <c r="S122" i="22" s="1"/>
  <c r="X58" i="22"/>
  <c r="X61" i="22" s="1"/>
  <c r="P82" i="6"/>
  <c r="P105" i="6" s="1"/>
  <c r="S61" i="6"/>
  <c r="Y53" i="22" l="1"/>
  <c r="T64" i="22"/>
  <c r="S94" i="22"/>
  <c r="P110" i="6"/>
  <c r="P93" i="6"/>
  <c r="P83" i="6"/>
  <c r="P94" i="6" s="1"/>
  <c r="T53" i="6"/>
  <c r="T69" i="22" l="1"/>
  <c r="T86" i="22"/>
  <c r="T118" i="22" s="1"/>
  <c r="Y58" i="22"/>
  <c r="Y61" i="22" s="1"/>
  <c r="Q75" i="6"/>
  <c r="T58" i="6"/>
  <c r="T72" i="22" l="1"/>
  <c r="T91" i="22"/>
  <c r="T119" i="22" s="1"/>
  <c r="T120" i="22" s="1"/>
  <c r="T122" i="22" s="1"/>
  <c r="Q80" i="6"/>
  <c r="Q91" i="6" s="1"/>
  <c r="Q120" i="6" s="1"/>
  <c r="Q86" i="6"/>
  <c r="Q119" i="6" s="1"/>
  <c r="T61" i="6"/>
  <c r="U64" i="22" l="1"/>
  <c r="T94" i="22"/>
  <c r="Q82" i="6"/>
  <c r="Q105" i="6" s="1"/>
  <c r="Q110" i="6" s="1"/>
  <c r="U53" i="6"/>
  <c r="U69" i="22" l="1"/>
  <c r="U86" i="22"/>
  <c r="U118" i="22" s="1"/>
  <c r="Q93" i="6"/>
  <c r="Q83" i="6"/>
  <c r="R75" i="6" s="1"/>
  <c r="R80" i="6" s="1"/>
  <c r="U58" i="6"/>
  <c r="Q94" i="6" l="1"/>
  <c r="U72" i="22"/>
  <c r="U91" i="22"/>
  <c r="U119" i="22" s="1"/>
  <c r="U120" i="22" s="1"/>
  <c r="U122" i="22" s="1"/>
  <c r="U61" i="6"/>
  <c r="R86" i="6"/>
  <c r="R119" i="6" s="1"/>
  <c r="V64" i="22" l="1"/>
  <c r="U94" i="22"/>
  <c r="R82" i="6"/>
  <c r="R105" i="6" s="1"/>
  <c r="R91" i="6"/>
  <c r="R120" i="6" s="1"/>
  <c r="V53" i="6"/>
  <c r="V69" i="22" l="1"/>
  <c r="V86" i="22"/>
  <c r="V118" i="22" s="1"/>
  <c r="R110" i="6"/>
  <c r="V58" i="6"/>
  <c r="R93" i="6"/>
  <c r="R83" i="6"/>
  <c r="F121" i="6"/>
  <c r="F125" i="6" s="1"/>
  <c r="V72" i="22" l="1"/>
  <c r="V91" i="22"/>
  <c r="V119" i="22" s="1"/>
  <c r="V120" i="22" s="1"/>
  <c r="V122" i="22" s="1"/>
  <c r="F124" i="22"/>
  <c r="F125" i="22" s="1"/>
  <c r="F124" i="21"/>
  <c r="F125" i="21" s="1"/>
  <c r="S75" i="6"/>
  <c r="S80" i="6" s="1"/>
  <c r="R94" i="6"/>
  <c r="V61" i="6"/>
  <c r="F123" i="6"/>
  <c r="W64" i="22" l="1"/>
  <c r="V94" i="22"/>
  <c r="W53" i="6"/>
  <c r="S86" i="6"/>
  <c r="S119" i="6" s="1"/>
  <c r="G121" i="6"/>
  <c r="W69" i="22" l="1"/>
  <c r="W86" i="22"/>
  <c r="W118" i="22" s="1"/>
  <c r="G125" i="6"/>
  <c r="G123" i="6"/>
  <c r="S82" i="6"/>
  <c r="S105" i="6" s="1"/>
  <c r="S91" i="6"/>
  <c r="S120" i="6" s="1"/>
  <c r="W58" i="6"/>
  <c r="W72" i="22" l="1"/>
  <c r="W91" i="22"/>
  <c r="W119" i="22" s="1"/>
  <c r="W120" i="22" s="1"/>
  <c r="W122" i="22" s="1"/>
  <c r="S110" i="6"/>
  <c r="G124" i="22"/>
  <c r="G125" i="22" s="1"/>
  <c r="G124" i="21"/>
  <c r="G125" i="21" s="1"/>
  <c r="W61" i="6"/>
  <c r="S93" i="6"/>
  <c r="S83" i="6"/>
  <c r="H121" i="6"/>
  <c r="X64" i="22" l="1"/>
  <c r="W94" i="22"/>
  <c r="H123" i="6"/>
  <c r="H125" i="6"/>
  <c r="T75" i="6"/>
  <c r="T80" i="6" s="1"/>
  <c r="S94" i="6"/>
  <c r="X53" i="6"/>
  <c r="X69" i="22" l="1"/>
  <c r="X86" i="22"/>
  <c r="X118" i="22" s="1"/>
  <c r="H124" i="22"/>
  <c r="H125" i="22" s="1"/>
  <c r="H124" i="21"/>
  <c r="H125" i="21" s="1"/>
  <c r="X58" i="6"/>
  <c r="T91" i="6"/>
  <c r="T120" i="6" s="1"/>
  <c r="T86" i="6"/>
  <c r="T119" i="6" s="1"/>
  <c r="X72" i="22" l="1"/>
  <c r="X91" i="22"/>
  <c r="X119" i="22" s="1"/>
  <c r="X120" i="22" s="1"/>
  <c r="X122" i="22" s="1"/>
  <c r="T82" i="6"/>
  <c r="T105" i="6" s="1"/>
  <c r="X61" i="6"/>
  <c r="I121" i="6"/>
  <c r="I125" i="6" s="1"/>
  <c r="Y64" i="22" l="1"/>
  <c r="X94" i="22"/>
  <c r="I124" i="22"/>
  <c r="I125" i="22" s="1"/>
  <c r="I124" i="21"/>
  <c r="I125" i="21" s="1"/>
  <c r="T110" i="6"/>
  <c r="Y53" i="6"/>
  <c r="T83" i="6"/>
  <c r="T93" i="6"/>
  <c r="J121" i="6"/>
  <c r="I123" i="6"/>
  <c r="Y69" i="22" l="1"/>
  <c r="Y86" i="22"/>
  <c r="Y118" i="22" s="1"/>
  <c r="J123" i="6"/>
  <c r="J125" i="6"/>
  <c r="U75" i="6"/>
  <c r="U80" i="6" s="1"/>
  <c r="T94" i="6"/>
  <c r="Y58" i="6"/>
  <c r="AB118" i="22" l="1"/>
  <c r="Y72" i="22"/>
  <c r="Y94" i="22" s="1"/>
  <c r="Y91" i="22"/>
  <c r="Y119" i="22" s="1"/>
  <c r="AB119" i="22" s="1"/>
  <c r="J124" i="22"/>
  <c r="J125" i="22" s="1"/>
  <c r="J124" i="21"/>
  <c r="J125" i="21" s="1"/>
  <c r="Y61" i="6"/>
  <c r="U91" i="6"/>
  <c r="U120" i="6" s="1"/>
  <c r="U82" i="6"/>
  <c r="U105" i="6" s="1"/>
  <c r="U86" i="6"/>
  <c r="U119" i="6" s="1"/>
  <c r="K121" i="6"/>
  <c r="K125" i="6" s="1"/>
  <c r="Y120" i="22" l="1"/>
  <c r="Y122" i="22" s="1"/>
  <c r="AC122" i="22"/>
  <c r="AB120" i="22"/>
  <c r="AB122" i="22" s="1"/>
  <c r="K124" i="22"/>
  <c r="K125" i="22" s="1"/>
  <c r="K124" i="21"/>
  <c r="K125" i="21" s="1"/>
  <c r="U110" i="6"/>
  <c r="U83" i="6"/>
  <c r="U93" i="6"/>
  <c r="K123" i="6"/>
  <c r="AD122" i="22" l="1"/>
  <c r="V75" i="6"/>
  <c r="V80" i="6" s="1"/>
  <c r="U94" i="6"/>
  <c r="L121" i="6"/>
  <c r="L123" i="6" l="1"/>
  <c r="L125" i="6"/>
  <c r="V91" i="6"/>
  <c r="V120" i="6" s="1"/>
  <c r="V86" i="6"/>
  <c r="V119" i="6" s="1"/>
  <c r="V82" i="6" l="1"/>
  <c r="V83" i="6" s="1"/>
  <c r="L124" i="22"/>
  <c r="L125" i="22" s="1"/>
  <c r="L124" i="21"/>
  <c r="L125" i="21" s="1"/>
  <c r="M121" i="6"/>
  <c r="V93" i="6" l="1"/>
  <c r="V105" i="6"/>
  <c r="V110" i="6" s="1"/>
  <c r="M123" i="6"/>
  <c r="M125" i="6"/>
  <c r="W75" i="6"/>
  <c r="W80" i="6" s="1"/>
  <c r="V94" i="6"/>
  <c r="M124" i="22" l="1"/>
  <c r="M125" i="22" s="1"/>
  <c r="M124" i="21"/>
  <c r="M125" i="21" s="1"/>
  <c r="W91" i="6"/>
  <c r="W120" i="6" s="1"/>
  <c r="W86" i="6"/>
  <c r="W119" i="6" s="1"/>
  <c r="N121" i="6"/>
  <c r="N123" i="6" l="1"/>
  <c r="N125" i="6"/>
  <c r="W82" i="6"/>
  <c r="W105" i="6" s="1"/>
  <c r="W110" i="6" l="1"/>
  <c r="W93" i="6"/>
  <c r="N124" i="22"/>
  <c r="N125" i="22" s="1"/>
  <c r="N124" i="21"/>
  <c r="N125" i="21" s="1"/>
  <c r="W83" i="6"/>
  <c r="W94" i="6" s="1"/>
  <c r="O121" i="6"/>
  <c r="O125" i="6" s="1"/>
  <c r="X75" i="6" l="1"/>
  <c r="X80" i="6" s="1"/>
  <c r="X91" i="6" s="1"/>
  <c r="X120" i="6" s="1"/>
  <c r="O124" i="22"/>
  <c r="O125" i="22" s="1"/>
  <c r="O124" i="21"/>
  <c r="O125" i="21" s="1"/>
  <c r="O123" i="6"/>
  <c r="X86" i="6" l="1"/>
  <c r="X119" i="6" s="1"/>
  <c r="X82" i="6"/>
  <c r="X105" i="6" s="1"/>
  <c r="X110" i="6" s="1"/>
  <c r="P121" i="6"/>
  <c r="P125" i="6" s="1"/>
  <c r="X93" i="6" l="1"/>
  <c r="X83" i="6"/>
  <c r="Y75" i="6" s="1"/>
  <c r="Y80" i="6" s="1"/>
  <c r="P124" i="22"/>
  <c r="P125" i="22" s="1"/>
  <c r="P124" i="21"/>
  <c r="P125" i="21" s="1"/>
  <c r="P123" i="6"/>
  <c r="X94" i="6" l="1"/>
  <c r="Y91" i="6"/>
  <c r="Y120" i="6" s="1"/>
  <c r="Y82" i="6"/>
  <c r="Y105" i="6" s="1"/>
  <c r="Y86" i="6"/>
  <c r="Y119" i="6" s="1"/>
  <c r="AC123" i="6" s="1"/>
  <c r="Q121" i="6"/>
  <c r="Q123" i="6" l="1"/>
  <c r="Q125" i="6"/>
  <c r="Y110" i="6"/>
  <c r="Y83" i="6"/>
  <c r="Y94" i="6" s="1"/>
  <c r="Y93" i="6"/>
  <c r="Q124" i="22" l="1"/>
  <c r="Q125" i="22" s="1"/>
  <c r="Q124" i="21"/>
  <c r="Q125" i="21" s="1"/>
  <c r="R121" i="6"/>
  <c r="R123" i="6" l="1"/>
  <c r="R125" i="6"/>
  <c r="S121" i="6"/>
  <c r="S123" i="6" l="1"/>
  <c r="S125" i="6"/>
  <c r="R124" i="22"/>
  <c r="R125" i="22" s="1"/>
  <c r="R124" i="21"/>
  <c r="R125" i="21" s="1"/>
  <c r="T121" i="6"/>
  <c r="T125" i="6" s="1"/>
  <c r="S124" i="22" l="1"/>
  <c r="S125" i="22" s="1"/>
  <c r="S124" i="21"/>
  <c r="S125" i="21" s="1"/>
  <c r="T124" i="22"/>
  <c r="T125" i="22" s="1"/>
  <c r="T124" i="21"/>
  <c r="T125" i="21" s="1"/>
  <c r="T123" i="6"/>
  <c r="U121" i="6" l="1"/>
  <c r="U125" i="6" s="1"/>
  <c r="U124" i="22" l="1"/>
  <c r="U125" i="22" s="1"/>
  <c r="U124" i="21"/>
  <c r="U125" i="21" s="1"/>
  <c r="U123" i="6"/>
  <c r="V121" i="6" l="1"/>
  <c r="V125" i="6" s="1"/>
  <c r="V124" i="22" l="1"/>
  <c r="V125" i="22" s="1"/>
  <c r="V124" i="21"/>
  <c r="V125" i="21" s="1"/>
  <c r="V123" i="6"/>
  <c r="W121" i="6" l="1"/>
  <c r="W123" i="6" l="1"/>
  <c r="W125" i="6"/>
  <c r="X121" i="6"/>
  <c r="X125" i="6" s="1"/>
  <c r="X124" i="22" l="1"/>
  <c r="X125" i="22" s="1"/>
  <c r="X124" i="21"/>
  <c r="X125" i="21" s="1"/>
  <c r="W124" i="22"/>
  <c r="W125" i="22" s="1"/>
  <c r="W124" i="21"/>
  <c r="W125" i="21" s="1"/>
  <c r="X123" i="6"/>
  <c r="AB105" i="6" l="1"/>
  <c r="AB110" i="6" s="1"/>
  <c r="Y121" i="6" l="1"/>
  <c r="Y125" i="6" s="1"/>
  <c r="AB119" i="6"/>
  <c r="AB120" i="6"/>
  <c r="Y124" i="22" l="1"/>
  <c r="Y125" i="22" s="1"/>
  <c r="Y124" i="21"/>
  <c r="Y125" i="21" s="1"/>
  <c r="Y123" i="6"/>
  <c r="AB121" i="6"/>
  <c r="AB123" i="6" l="1"/>
  <c r="AD123" i="6" s="1"/>
</calcChain>
</file>

<file path=xl/comments1.xml><?xml version="1.0" encoding="utf-8"?>
<comments xmlns="http://schemas.openxmlformats.org/spreadsheetml/2006/main">
  <authors>
    <author>Cale Maynard</author>
  </authors>
  <commentList>
    <comment ref="H23" authorId="0" shapeId="0">
      <text>
        <r>
          <rPr>
            <b/>
            <sz val="9"/>
            <color indexed="81"/>
            <rFont val="Tahoma"/>
            <family val="2"/>
          </rPr>
          <t>Фактична зміна витрат на супровід  починаючи з 3 року</t>
        </r>
        <r>
          <rPr>
            <sz val="9"/>
            <color indexed="81"/>
            <rFont val="Tahoma"/>
            <family val="2"/>
          </rPr>
          <t xml:space="preserve">
</t>
        </r>
      </text>
    </comment>
    <comment ref="J55" authorId="0" shapeId="0">
      <text>
        <r>
          <rPr>
            <b/>
            <sz val="9"/>
            <color indexed="81"/>
            <rFont val="Tahoma"/>
            <family val="2"/>
          </rPr>
          <t>Зміна припущень відбувається на кінець 5 року</t>
        </r>
        <r>
          <rPr>
            <sz val="9"/>
            <color indexed="81"/>
            <rFont val="Tahoma"/>
            <family val="2"/>
          </rPr>
          <t xml:space="preserve">
</t>
        </r>
      </text>
    </comment>
    <comment ref="J57" authorId="0" shapeId="0">
      <text>
        <r>
          <rPr>
            <b/>
            <sz val="9"/>
            <color indexed="81"/>
            <rFont val="Tahoma"/>
            <family val="2"/>
          </rPr>
          <t>Оцінка досі на старому базисі, зміна припущень відбудеться на кінець року</t>
        </r>
      </text>
    </comment>
    <comment ref="K57" authorId="0" shapeId="0">
      <text>
        <r>
          <rPr>
            <b/>
            <sz val="9"/>
            <color indexed="81"/>
            <rFont val="Tahoma"/>
            <family val="2"/>
          </rPr>
          <t>Оцінка змінюється через зміну припущень</t>
        </r>
      </text>
    </comment>
    <comment ref="J77" authorId="0" shapeId="0">
      <text>
        <r>
          <rPr>
            <b/>
            <sz val="9"/>
            <color indexed="81"/>
            <rFont val="Tahoma"/>
            <family val="2"/>
            <charset val="204"/>
          </rPr>
          <t>у CSM є можливість поглинути різницю, викликану змінами у припущеннях</t>
        </r>
        <r>
          <rPr>
            <sz val="9"/>
            <color indexed="81"/>
            <rFont val="Tahoma"/>
            <family val="2"/>
          </rPr>
          <t xml:space="preserve">
</t>
        </r>
      </text>
    </comment>
    <comment ref="J80" authorId="0" shapeId="0">
      <text>
        <r>
          <rPr>
            <b/>
            <sz val="9"/>
            <color indexed="81"/>
            <rFont val="Tahoma"/>
            <family val="2"/>
          </rPr>
          <t>зміни в припущеннях відбулись наприкінці року, тому вони не вплинули на нарахування відсотків</t>
        </r>
      </text>
    </comment>
    <comment ref="J82" authorId="0" shapeId="0">
      <text>
        <r>
          <rPr>
            <b/>
            <sz val="9"/>
            <color indexed="81"/>
            <rFont val="Tahoma"/>
            <family val="2"/>
          </rPr>
          <t>амортизація CSM розраховується на останньому кроці наприкінці року, тому враховує зміни у припущеннях</t>
        </r>
        <r>
          <rPr>
            <sz val="9"/>
            <color indexed="81"/>
            <rFont val="Tahoma"/>
            <family val="2"/>
          </rPr>
          <t xml:space="preserve">
</t>
        </r>
      </text>
    </comment>
    <comment ref="J88" authorId="0" shapeId="0">
      <text>
        <r>
          <rPr>
            <b/>
            <sz val="9"/>
            <color indexed="81"/>
            <rFont val="Tahoma"/>
            <family val="2"/>
          </rPr>
          <t>на загальному рівні, зміни в оцінці відповідальності не відбувається, а лише перерозподіляється між BEL та CSM</t>
        </r>
      </text>
    </comment>
    <comment ref="K112" authorId="0" shapeId="0">
      <text>
        <r>
          <rPr>
            <b/>
            <sz val="9"/>
            <color indexed="81"/>
            <rFont val="Tahoma"/>
            <family val="2"/>
            <charset val="204"/>
          </rPr>
          <t>тепер співпадає із очікуваннями через зміну у припущеннях</t>
        </r>
        <r>
          <rPr>
            <sz val="9"/>
            <color indexed="81"/>
            <rFont val="Tahoma"/>
            <family val="2"/>
          </rPr>
          <t xml:space="preserve">
</t>
        </r>
      </text>
    </comment>
  </commentList>
</comments>
</file>

<file path=xl/comments2.xml><?xml version="1.0" encoding="utf-8"?>
<comments xmlns="http://schemas.openxmlformats.org/spreadsheetml/2006/main">
  <authors>
    <author>Cale Maynard</author>
  </authors>
  <commentList>
    <comment ref="O19" authorId="0" shapeId="0">
      <text>
        <r>
          <rPr>
            <b/>
            <sz val="9"/>
            <color indexed="81"/>
            <rFont val="Tahoma"/>
            <family val="2"/>
          </rPr>
          <t>так як фактичне відхилення відбулось в 9 році, то це спричиняє різницю між фактом та очікуваннями у всіх подальших роках</t>
        </r>
        <r>
          <rPr>
            <sz val="9"/>
            <color indexed="81"/>
            <rFont val="Tahoma"/>
            <family val="2"/>
          </rPr>
          <t xml:space="preserve">
</t>
        </r>
      </text>
    </comment>
    <comment ref="O33" authorId="0" shapeId="0">
      <text>
        <r>
          <rPr>
            <b/>
            <sz val="9"/>
            <color indexed="81"/>
            <rFont val="Tahoma"/>
            <family val="2"/>
          </rPr>
          <t>RA також відчує вплив змін, незважаючи на те, що у даному прикладі RA залежить лише від коливання смертності</t>
        </r>
        <r>
          <rPr>
            <sz val="9"/>
            <color indexed="81"/>
            <rFont val="Tahoma"/>
            <family val="2"/>
          </rPr>
          <t xml:space="preserve">
</t>
        </r>
      </text>
    </comment>
    <comment ref="N38" authorId="0" shapeId="0">
      <text>
        <r>
          <rPr>
            <b/>
            <sz val="9"/>
            <color indexed="81"/>
            <rFont val="Tahoma"/>
            <family val="2"/>
          </rPr>
          <t>досвід дострокового припинення на 9 році матиме вплив на залишок одиниць покриття</t>
        </r>
        <r>
          <rPr>
            <sz val="9"/>
            <color indexed="81"/>
            <rFont val="Tahoma"/>
            <family val="2"/>
          </rPr>
          <t xml:space="preserve">
</t>
        </r>
      </text>
    </comment>
    <comment ref="N59" authorId="0" shapeId="0">
      <text>
        <r>
          <rPr>
            <b/>
            <sz val="9"/>
            <color indexed="81"/>
            <rFont val="Tahoma"/>
            <family val="2"/>
            <charset val="204"/>
          </rPr>
          <t>зміна рівню дострокового припинення дії договорів матиме вплив на кількість діючих договорів та очікувані з цим ГП. Це не зміна у припущеннях!</t>
        </r>
        <r>
          <rPr>
            <sz val="9"/>
            <color indexed="81"/>
            <rFont val="Tahoma"/>
            <family val="2"/>
          </rPr>
          <t xml:space="preserve">
</t>
        </r>
      </text>
    </comment>
    <comment ref="N70" authorId="0" shapeId="0">
      <text>
        <r>
          <rPr>
            <b/>
            <sz val="9"/>
            <color indexed="81"/>
            <rFont val="Tahoma"/>
            <family val="2"/>
          </rPr>
          <t>зміна рівню дострокового припинення дії договорів матиме вплив на кількість діючих договорів та очікувані з цим ГП. Це не зміна у припущеннях!</t>
        </r>
      </text>
    </comment>
    <comment ref="N71" authorId="0" shapeId="0">
      <text>
        <r>
          <rPr>
            <b/>
            <sz val="9"/>
            <color indexed="81"/>
            <rFont val="Tahoma"/>
            <family val="2"/>
            <charset val="204"/>
          </rPr>
          <t>амортизація RA базується на очікуваних ГП, тому тут зміни відбудуться на 10 році</t>
        </r>
        <r>
          <rPr>
            <sz val="9"/>
            <color indexed="81"/>
            <rFont val="Tahoma"/>
            <family val="2"/>
          </rPr>
          <t xml:space="preserve">
</t>
        </r>
      </text>
    </comment>
    <comment ref="N81" authorId="0" shapeId="0">
      <text>
        <r>
          <rPr>
            <b/>
            <sz val="9"/>
            <color indexed="81"/>
            <rFont val="Tahoma"/>
            <family val="2"/>
          </rPr>
          <t>у CSM є можливість поглинути різницю, викликану змінами у припущеннях</t>
        </r>
        <r>
          <rPr>
            <sz val="9"/>
            <color indexed="81"/>
            <rFont val="Tahoma"/>
            <family val="2"/>
          </rPr>
          <t xml:space="preserve">
</t>
        </r>
      </text>
    </comment>
    <comment ref="N82" authorId="0" shapeId="0">
      <text>
        <r>
          <rPr>
            <b/>
            <sz val="9"/>
            <color indexed="81"/>
            <rFont val="Tahoma"/>
            <family val="2"/>
          </rPr>
          <t>амортизація CSM розраховується на останньому кроці наприкінці звітного періоду, тому включає в себе зміну RA</t>
        </r>
        <r>
          <rPr>
            <sz val="9"/>
            <color indexed="81"/>
            <rFont val="Tahoma"/>
            <family val="2"/>
          </rPr>
          <t xml:space="preserve">
</t>
        </r>
      </text>
    </comment>
    <comment ref="N92" authorId="0" shapeId="0">
      <text>
        <r>
          <rPr>
            <b/>
            <sz val="9"/>
            <color indexed="81"/>
            <rFont val="Tahoma"/>
            <family val="2"/>
          </rPr>
          <t>на загальному рівні, зміни в оцінці відповідальності не відбувається, а лише перерозподіляється між BEL, RA та CSM</t>
        </r>
        <r>
          <rPr>
            <sz val="9"/>
            <color indexed="81"/>
            <rFont val="Tahoma"/>
            <family val="2"/>
          </rPr>
          <t xml:space="preserve">
</t>
        </r>
      </text>
    </comment>
  </commentList>
</comments>
</file>

<file path=xl/sharedStrings.xml><?xml version="1.0" encoding="utf-8"?>
<sst xmlns="http://schemas.openxmlformats.org/spreadsheetml/2006/main" count="402" uniqueCount="97">
  <si>
    <t>BOY</t>
  </si>
  <si>
    <t>EOY</t>
  </si>
  <si>
    <t>PV profits</t>
  </si>
  <si>
    <t>inv inc</t>
  </si>
  <si>
    <t>compare</t>
  </si>
  <si>
    <t>Disclaimer</t>
  </si>
  <si>
    <t>Випущені страхові контракти</t>
  </si>
  <si>
    <t>Страхова сума</t>
  </si>
  <si>
    <t>Ставка дисконтування, визначена на дату первісного визнання</t>
  </si>
  <si>
    <t>Страхові вимоги</t>
  </si>
  <si>
    <t>Очікувані грошові потоки (при первісному визнанні)</t>
  </si>
  <si>
    <t>Фактичні грошові потоки</t>
  </si>
  <si>
    <t>Сума</t>
  </si>
  <si>
    <t>Комісійна винагорода агенту (аквізиційні витрати)</t>
  </si>
  <si>
    <t>Очікуване коригування на нефінансовий ризик (при первісному визнанні)</t>
  </si>
  <si>
    <t>Фактичне коригування на нефінансовий ризик (при первісному визнанні)</t>
  </si>
  <si>
    <t>Зобов'язання (актив) за страховими контрактами на початок періоду</t>
  </si>
  <si>
    <t>Контрактна сервісна маржа (при первісному визнанні)</t>
  </si>
  <si>
    <t>Збільшення (зменшення) через коригування на підставі досвіду</t>
  </si>
  <si>
    <t>Дохід від страхування</t>
  </si>
  <si>
    <t>Прибуток (збиток)</t>
  </si>
  <si>
    <t>Інші витрати</t>
  </si>
  <si>
    <t>Амортизація аквізиційних грошових потоків</t>
  </si>
  <si>
    <t>Розкриття інформації про узгодження змін у коригуванні на нефінансовий ризик</t>
  </si>
  <si>
    <t>Контрактна сервісна маржа, визнана в прибутку або збитку у зв'язку з передаванням послуг за страховим контрактом</t>
  </si>
  <si>
    <t>Зміна в коригуванні на нефінансовий ризик</t>
  </si>
  <si>
    <t>Розподіл часток премій, що стосуються відшкодування аквізиційних грошових потоків</t>
  </si>
  <si>
    <t>Збільшення (зменшення) через вплив контрактів, первісно визнаних протягом періоду</t>
  </si>
  <si>
    <t>Зобов'язання (актив) за страховими контрактами (на початок періоду)</t>
  </si>
  <si>
    <t>Збільшення (зменшення) через фінансові доходи або витрати за страхуванням</t>
  </si>
  <si>
    <t>Оцінки вартості майбутнього надходження грошових коштів</t>
  </si>
  <si>
    <t>Оцінки вартості майбутнього вибуття грошових коштів</t>
  </si>
  <si>
    <t>Збільшення (зменшення) через зміни, пов'язані з майбутніми послугами</t>
  </si>
  <si>
    <t>Збільшення (зменшення) через зміни, пов'язані з поточними послугами</t>
  </si>
  <si>
    <t>Страховий тариф з 1000 гр. од. страхової суми</t>
  </si>
  <si>
    <t>Ставка доходу за активами</t>
  </si>
  <si>
    <t xml:space="preserve">Рівень смертності </t>
  </si>
  <si>
    <t>Коригування на нефінансовий ризик на початок періоду</t>
  </si>
  <si>
    <t>Коригування на нефінансовий ризик на кінець періоду</t>
  </si>
  <si>
    <t>Звіт про прибутки та збитки</t>
  </si>
  <si>
    <t>Абсолютне навантаження на тариф</t>
  </si>
  <si>
    <t>Комісія</t>
  </si>
  <si>
    <t>Податок з премій</t>
  </si>
  <si>
    <t>Рівень дострокового припинення договорів</t>
  </si>
  <si>
    <t xml:space="preserve">Нефінансові коригування ризику через смертність </t>
  </si>
  <si>
    <t>Аквізиційні ГП, що віднесені на портфель</t>
  </si>
  <si>
    <t>Аквізиційні ГП, що не віднесені на портфель</t>
  </si>
  <si>
    <t>Витрати на супровід, що віднесені на портфель</t>
  </si>
  <si>
    <t>Витрати на супровід, що не віднесені на портфель</t>
  </si>
  <si>
    <t>Аквізиційні витрати (включаючи комісію) нараховані використовуючи ставку дохідності в CSM і амортизуються пропорційно одиницям покриття</t>
  </si>
  <si>
    <t>RA визначено як 10% від очікуваних виплат</t>
  </si>
  <si>
    <t>зміна витрат на супровід, що віднесені на портфель</t>
  </si>
  <si>
    <t>зміна рівня дострокового припинення договорів</t>
  </si>
  <si>
    <t>Премії за випущеними страховими контрактами</t>
  </si>
  <si>
    <t>Комісійна винагорода за поновлення</t>
  </si>
  <si>
    <t>Смертність</t>
  </si>
  <si>
    <t>Дострокове припинення договорів</t>
  </si>
  <si>
    <t>Узгодження одиниць покриття</t>
  </si>
  <si>
    <t>ТВ премії за випущеними страховими контрактами</t>
  </si>
  <si>
    <t>ТВ комісійної винагороди за поновлення</t>
  </si>
  <si>
    <t>ТВ витрат на супровід, що віднесені на портфель</t>
  </si>
  <si>
    <t>ТВ аквізиційних ГП, що віднесені на портфель</t>
  </si>
  <si>
    <t>ТВ страхових вимог</t>
  </si>
  <si>
    <t>ТВ коригування на нефінансовий ризик</t>
  </si>
  <si>
    <t xml:space="preserve">Розкриття інформації про узгодження змін в майбутніх грошових потоках (BEL) </t>
  </si>
  <si>
    <t>Майбутні грошові потоки (BEL) на початок періоду</t>
  </si>
  <si>
    <t>Майбутні грошові потоки (BEL) на кінець періоду</t>
  </si>
  <si>
    <t>Початок періоду</t>
  </si>
  <si>
    <t>Кінець періоду</t>
  </si>
  <si>
    <t>Контрактна сервісна маржа на початок періоду</t>
  </si>
  <si>
    <t>Контрактна сервісна маржа на кінець періоду</t>
  </si>
  <si>
    <t xml:space="preserve">Розкриття інформації про узгодження змін у  контрактній сервісній маржі </t>
  </si>
  <si>
    <t>Розкриття змін про узгодження в страхових контрактах</t>
  </si>
  <si>
    <t>Страховий контракт на початок періоду</t>
  </si>
  <si>
    <t>Страховий контракт на кінець періоду</t>
  </si>
  <si>
    <t>Розкриття інформації про узгодження амортизації аквізиційних грошових потоків</t>
  </si>
  <si>
    <t xml:space="preserve">Аквізиційні грошові потоки на початок періоду </t>
  </si>
  <si>
    <t>Нові аквізиційні грошові потоки</t>
  </si>
  <si>
    <t>Дисконтування аквізиційних грошових потоків</t>
  </si>
  <si>
    <t xml:space="preserve">Аквізиційні грошові потоки на кінець періоду </t>
  </si>
  <si>
    <t>Витрати на страхові послуги (страхові вимоги), понесені протягом періоду, що оцінюються за сумами, очікуваними на початок періоду</t>
  </si>
  <si>
    <t>Витрати на страхові послуги (витрати на супровід), понесені протягом періоду, що оцінюються за сумами, очікуваними на початок періоду</t>
  </si>
  <si>
    <t xml:space="preserve">Витрати за страховими вимогами </t>
  </si>
  <si>
    <t>Інші понесені витрати на страхові послуги</t>
  </si>
  <si>
    <t>Фінасові доходи за страхуванням</t>
  </si>
  <si>
    <t>Фінансові витрати за страхуванням</t>
  </si>
  <si>
    <t>Результат фінансової діяльності за страхуванням</t>
  </si>
  <si>
    <t>Витрати на страхові послуги за випущеними страховими контрактами</t>
  </si>
  <si>
    <t>Коли факт співпадає із прогнозом, прибуток рівний амортизації CSM та RA плюс відхилення інвестиційного доходу мінус нерозподілені витрати</t>
  </si>
  <si>
    <t>Фактична зміна витрат на супровід відбулась починаючи з 3 року, припущення змінені в 5 році</t>
  </si>
  <si>
    <t>Базовий прибуток (збиток)</t>
  </si>
  <si>
    <t>Різниця</t>
  </si>
  <si>
    <t>Одноразова зміна рівню дострокового припинення договорів на 9 році -- без змін у припущеннях</t>
  </si>
  <si>
    <t>Одиниці покриття базуються на страховому покритті, що діяло на початок періоду, без врахування дисконтування</t>
  </si>
  <si>
    <t>Контракти випущені на початку періоду. Премії, комісія та витрати першого року відбуваються на початку періоду. Виплати та витрати на поновлення договорів відбуваются наприкінці періоду.</t>
  </si>
  <si>
    <t>Інформація, надана у цьому файлі, є інтерпретацією, висновком та думкою безпосередньо автора і не є офіційною думкою Національного банку України. Національний банк України не несе відповідальності за точність та будь-які інші дані, які наведені або на які здійснюється посилання у даному файлі. 
Національний банк та автор файлу не несуть відповідальності за використання даного файлу в робочих/навчальних або інших цілях і здійснюється під повну відповідальність особи, яка це здійснює.  
Права та дозволи: 
Матеріал у цій презентації захищений авторським правом. Копіювання та / або передача частин або всієї цієї роботи будь-якій стороні за межами Національного банку України без відповідного дозволу може бути порушенням чинного законодавства.
©2022 Національний банк України
Actuaries, insurers, regulators and other parties use the SOA's tools at their own risk. The SOA disclaims all responsibility for any party's use or misuse of its tools and for any work product generated through use or misuse of these tools and illustrations.</t>
  </si>
  <si>
    <t>В прикладі розглядаються ідентичні незалежні контракти строкового страхування життя. Термін дії контрактів рівний 20 рокам, сплата премій відбувається щорічно на початку року, страхова виплата здійснюється у кінці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</si>
</sst>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quot;$&quot;* #,##0.00_-;\-&quot;$&quot;* #,##0.00_-;_-&quot;$&quot;* &quot;-&quot;??_-;_-@_-"/>
    <numFmt numFmtId="166" formatCode="#,##0.0_);\(#,##0.0\)"/>
    <numFmt numFmtId="167" formatCode="#,##0.000_);\(#,##0.000\)"/>
    <numFmt numFmtId="168" formatCode="#,##0.0;\-#,##0.0"/>
    <numFmt numFmtId="169" formatCode="0.0%"/>
    <numFmt numFmtId="170" formatCode="_(* #,##0_);_(* \(#,##0\);_(* &quot;-&quot;??_);_(@_)"/>
    <numFmt numFmtId="171" formatCode="#,##0\ &quot;₴&quot;"/>
  </numFmts>
  <fonts count="22"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u/>
      <sz val="11"/>
      <color theme="1"/>
      <name val="Calibri"/>
      <family val="2"/>
      <scheme val="minor"/>
    </font>
    <font>
      <b/>
      <sz val="11"/>
      <color theme="1"/>
      <name val="Calibri"/>
      <family val="2"/>
      <scheme val="minor"/>
    </font>
    <font>
      <sz val="11"/>
      <color rgb="FF3366FF"/>
      <name val="Calibri"/>
      <family val="2"/>
      <scheme val="minor"/>
    </font>
    <font>
      <sz val="11"/>
      <name val="Calibri"/>
      <family val="2"/>
      <scheme val="minor"/>
    </font>
    <font>
      <b/>
      <sz val="12"/>
      <color theme="1"/>
      <name val="Calibri"/>
      <family val="2"/>
      <scheme val="minor"/>
    </font>
    <font>
      <b/>
      <u/>
      <sz val="13"/>
      <color rgb="FF9E0000"/>
      <name val="Calibri"/>
      <family val="2"/>
      <scheme val="minor"/>
    </font>
    <font>
      <sz val="12"/>
      <color rgb="FF9E0000"/>
      <name val="Calibri"/>
      <family val="2"/>
      <scheme val="minor"/>
    </font>
    <font>
      <sz val="11"/>
      <color rgb="FF9E0000"/>
      <name val="Calibri"/>
      <family val="2"/>
      <scheme val="minor"/>
    </font>
    <font>
      <sz val="11"/>
      <color rgb="FFFF0000"/>
      <name val="Calibri"/>
      <family val="2"/>
      <scheme val="minor"/>
    </font>
    <font>
      <b/>
      <sz val="12"/>
      <color theme="1"/>
      <name val="Times New Roman"/>
      <family val="1"/>
      <charset val="204"/>
    </font>
    <font>
      <sz val="11"/>
      <color theme="1"/>
      <name val="Times New Roman"/>
      <family val="1"/>
      <charset val="204"/>
    </font>
    <font>
      <b/>
      <sz val="11"/>
      <color theme="1"/>
      <name val="Times New Roman"/>
      <family val="1"/>
      <charset val="204"/>
    </font>
    <font>
      <u/>
      <sz val="11"/>
      <color theme="1"/>
      <name val="Times New Roman"/>
      <family val="1"/>
      <charset val="204"/>
    </font>
    <font>
      <sz val="11"/>
      <name val="Times New Roman"/>
      <family val="1"/>
      <charset val="204"/>
    </font>
    <font>
      <sz val="11"/>
      <color rgb="FF3366FF"/>
      <name val="Times New Roman"/>
      <family val="1"/>
      <charset val="204"/>
    </font>
    <font>
      <b/>
      <sz val="11"/>
      <name val="Times New Roman"/>
      <family val="1"/>
      <charset val="204"/>
    </font>
    <font>
      <b/>
      <sz val="9"/>
      <color indexed="81"/>
      <name val="Tahoma"/>
      <family val="2"/>
      <charset val="204"/>
    </font>
    <font>
      <sz val="11"/>
      <color theme="9" tint="-0.499984740745262"/>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E0000"/>
      </left>
      <right/>
      <top style="thin">
        <color rgb="FF9E0000"/>
      </top>
      <bottom/>
      <diagonal/>
    </border>
    <border>
      <left style="thin">
        <color rgb="FF9E0000"/>
      </left>
      <right/>
      <top/>
      <bottom/>
      <diagonal/>
    </border>
    <border>
      <left style="thin">
        <color rgb="FF9E0000"/>
      </left>
      <right/>
      <top/>
      <bottom style="thin">
        <color rgb="FF9E0000"/>
      </bottom>
      <diagonal/>
    </border>
    <border>
      <left/>
      <right/>
      <top style="thin">
        <color rgb="FF9E0000"/>
      </top>
      <bottom/>
      <diagonal/>
    </border>
    <border>
      <left/>
      <right/>
      <top/>
      <bottom style="thin">
        <color rgb="FF9E0000"/>
      </bottom>
      <diagonal/>
    </border>
    <border>
      <left/>
      <right style="thin">
        <color rgb="FF9E0000"/>
      </right>
      <top style="thin">
        <color rgb="FF9E0000"/>
      </top>
      <bottom/>
      <diagonal/>
    </border>
    <border>
      <left/>
      <right style="thin">
        <color rgb="FF9E0000"/>
      </right>
      <top/>
      <bottom/>
      <diagonal/>
    </border>
    <border>
      <left/>
      <right style="thin">
        <color rgb="FF9E0000"/>
      </right>
      <top/>
      <bottom style="thin">
        <color rgb="FF9E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42">
    <xf numFmtId="0" fontId="0" fillId="0" borderId="0" xfId="0"/>
    <xf numFmtId="37" fontId="0" fillId="0" borderId="0" xfId="0" applyNumberFormat="1" applyAlignment="1">
      <alignment horizontal="center"/>
    </xf>
    <xf numFmtId="37" fontId="0" fillId="0" borderId="0" xfId="0" applyNumberFormat="1" applyFill="1" applyAlignment="1">
      <alignment horizontal="center"/>
    </xf>
    <xf numFmtId="37" fontId="5" fillId="0" borderId="0" xfId="0" applyNumberFormat="1" applyFont="1" applyFill="1" applyAlignment="1">
      <alignment horizontal="center"/>
    </xf>
    <xf numFmtId="37" fontId="0" fillId="0" borderId="0" xfId="2" applyNumberFormat="1" applyFont="1" applyFill="1" applyAlignment="1">
      <alignment horizontal="left"/>
    </xf>
    <xf numFmtId="9" fontId="6" fillId="0" borderId="0" xfId="1" applyFont="1" applyFill="1" applyAlignment="1">
      <alignment horizontal="center"/>
    </xf>
    <xf numFmtId="37" fontId="0" fillId="0" borderId="0" xfId="0" applyNumberFormat="1" applyFont="1" applyFill="1" applyAlignment="1">
      <alignment horizontal="center"/>
    </xf>
    <xf numFmtId="37" fontId="4" fillId="0" borderId="0" xfId="0" applyNumberFormat="1" applyFont="1" applyFill="1" applyAlignment="1">
      <alignment horizontal="center"/>
    </xf>
    <xf numFmtId="37" fontId="7" fillId="0" borderId="0" xfId="0" applyNumberFormat="1" applyFont="1" applyFill="1" applyAlignment="1">
      <alignment horizontal="center"/>
    </xf>
    <xf numFmtId="37" fontId="0" fillId="0" borderId="0" xfId="0" applyNumberFormat="1" applyFill="1" applyAlignment="1">
      <alignment horizontal="left"/>
    </xf>
    <xf numFmtId="9" fontId="0" fillId="0" borderId="0" xfId="1" applyFont="1" applyFill="1" applyAlignment="1">
      <alignment horizontal="center"/>
    </xf>
    <xf numFmtId="166" fontId="0" fillId="0" borderId="0" xfId="0" applyNumberFormat="1" applyFill="1" applyAlignment="1">
      <alignment horizontal="center"/>
    </xf>
    <xf numFmtId="167" fontId="0" fillId="0" borderId="0" xfId="0" applyNumberFormat="1" applyFill="1" applyAlignment="1">
      <alignment horizontal="center"/>
    </xf>
    <xf numFmtId="37" fontId="8" fillId="0" borderId="0" xfId="2" applyNumberFormat="1" applyFont="1" applyFill="1" applyAlignment="1">
      <alignment horizontal="left"/>
    </xf>
    <xf numFmtId="168" fontId="0" fillId="0" borderId="0" xfId="0" applyNumberFormat="1" applyFill="1" applyAlignment="1">
      <alignment horizontal="center"/>
    </xf>
    <xf numFmtId="10" fontId="0" fillId="0" borderId="0" xfId="1" applyNumberFormat="1" applyFont="1" applyFill="1" applyAlignment="1">
      <alignment horizontal="center"/>
    </xf>
    <xf numFmtId="9" fontId="7" fillId="0" borderId="0" xfId="1" applyFont="1" applyFill="1" applyAlignment="1">
      <alignment horizontal="center"/>
    </xf>
    <xf numFmtId="37" fontId="0" fillId="0" borderId="2" xfId="0" applyNumberFormat="1" applyFill="1" applyBorder="1" applyAlignment="1">
      <alignment horizontal="center"/>
    </xf>
    <xf numFmtId="37" fontId="0" fillId="0" borderId="3" xfId="0" applyNumberFormat="1" applyFill="1" applyBorder="1" applyAlignment="1">
      <alignment horizontal="center"/>
    </xf>
    <xf numFmtId="37" fontId="0" fillId="0" borderId="0" xfId="0" applyNumberFormat="1" applyFill="1" applyBorder="1" applyAlignment="1">
      <alignment horizontal="center"/>
    </xf>
    <xf numFmtId="168" fontId="0" fillId="0" borderId="0" xfId="0" applyNumberFormat="1" applyFill="1" applyBorder="1" applyAlignment="1">
      <alignment horizontal="center"/>
    </xf>
    <xf numFmtId="168" fontId="0" fillId="0" borderId="5" xfId="0" applyNumberFormat="1" applyFill="1" applyBorder="1" applyAlignment="1">
      <alignment horizontal="center"/>
    </xf>
    <xf numFmtId="37" fontId="0" fillId="0" borderId="5" xfId="0" applyNumberFormat="1" applyFill="1" applyBorder="1" applyAlignment="1">
      <alignment horizontal="center"/>
    </xf>
    <xf numFmtId="37" fontId="0" fillId="0" borderId="7" xfId="0" applyNumberFormat="1" applyFill="1" applyBorder="1" applyAlignment="1">
      <alignment horizontal="center"/>
    </xf>
    <xf numFmtId="37" fontId="0" fillId="0" borderId="8" xfId="0" applyNumberFormat="1" applyFill="1" applyBorder="1" applyAlignment="1">
      <alignment horizontal="center"/>
    </xf>
    <xf numFmtId="37" fontId="0" fillId="0" borderId="10" xfId="0" applyNumberFormat="1" applyFill="1" applyBorder="1" applyAlignment="1">
      <alignment horizontal="center"/>
    </xf>
    <xf numFmtId="37" fontId="0" fillId="0" borderId="11" xfId="0" applyNumberFormat="1" applyFill="1" applyBorder="1" applyAlignment="1">
      <alignment horizontal="center"/>
    </xf>
    <xf numFmtId="37" fontId="4" fillId="0" borderId="5" xfId="0" applyNumberFormat="1" applyFont="1" applyFill="1" applyBorder="1" applyAlignment="1">
      <alignment horizontal="center"/>
    </xf>
    <xf numFmtId="37" fontId="0" fillId="0" borderId="0" xfId="0" applyNumberFormat="1" applyFont="1" applyFill="1" applyAlignment="1">
      <alignment horizontal="left"/>
    </xf>
    <xf numFmtId="37" fontId="0" fillId="2" borderId="0" xfId="0" applyNumberFormat="1" applyFill="1" applyBorder="1" applyAlignment="1">
      <alignment horizontal="center"/>
    </xf>
    <xf numFmtId="9" fontId="0" fillId="2" borderId="0" xfId="1" applyFont="1" applyFill="1" applyAlignment="1">
      <alignment horizontal="center"/>
    </xf>
    <xf numFmtId="37" fontId="0" fillId="0" borderId="0" xfId="0" applyNumberFormat="1" applyFont="1" applyFill="1" applyBorder="1" applyAlignment="1">
      <alignment horizontal="center"/>
    </xf>
    <xf numFmtId="37" fontId="0" fillId="2" borderId="5" xfId="0" applyNumberFormat="1" applyFill="1" applyBorder="1" applyAlignment="1">
      <alignment horizontal="center"/>
    </xf>
    <xf numFmtId="37" fontId="0" fillId="2" borderId="7" xfId="0" applyNumberFormat="1" applyFill="1" applyBorder="1" applyAlignment="1">
      <alignment horizontal="center"/>
    </xf>
    <xf numFmtId="37" fontId="0" fillId="2" borderId="8" xfId="0" applyNumberFormat="1" applyFill="1" applyBorder="1" applyAlignment="1">
      <alignment horizontal="center"/>
    </xf>
    <xf numFmtId="37" fontId="0" fillId="2" borderId="2" xfId="0" applyNumberFormat="1" applyFill="1" applyBorder="1" applyAlignment="1">
      <alignment horizontal="center"/>
    </xf>
    <xf numFmtId="37" fontId="0" fillId="2" borderId="3" xfId="0" applyNumberFormat="1" applyFill="1" applyBorder="1" applyAlignment="1">
      <alignment horizontal="center"/>
    </xf>
    <xf numFmtId="168" fontId="0" fillId="2" borderId="0" xfId="0" applyNumberFormat="1" applyFill="1" applyBorder="1" applyAlignment="1">
      <alignment horizontal="center"/>
    </xf>
    <xf numFmtId="168" fontId="0" fillId="2" borderId="5" xfId="0" applyNumberFormat="1" applyFill="1" applyBorder="1" applyAlignment="1">
      <alignment horizontal="center"/>
    </xf>
    <xf numFmtId="37" fontId="5" fillId="0" borderId="0" xfId="0" applyNumberFormat="1" applyFont="1" applyFill="1" applyBorder="1" applyAlignment="1">
      <alignment horizontal="center"/>
    </xf>
    <xf numFmtId="37" fontId="0" fillId="2" borderId="10" xfId="0" applyNumberFormat="1" applyFill="1" applyBorder="1" applyAlignment="1">
      <alignment horizontal="center"/>
    </xf>
    <xf numFmtId="37" fontId="0" fillId="2" borderId="11" xfId="0" applyNumberFormat="1" applyFill="1" applyBorder="1" applyAlignment="1">
      <alignment horizontal="center"/>
    </xf>
    <xf numFmtId="169" fontId="7" fillId="0" borderId="0" xfId="1" applyNumberFormat="1" applyFont="1" applyFill="1" applyAlignment="1">
      <alignment horizontal="center"/>
    </xf>
    <xf numFmtId="9" fontId="0" fillId="0" borderId="0" xfId="1" applyNumberFormat="1" applyFont="1" applyFill="1" applyAlignment="1">
      <alignment horizontal="center"/>
    </xf>
    <xf numFmtId="37" fontId="5" fillId="0" borderId="5" xfId="0" applyNumberFormat="1" applyFont="1" applyFill="1" applyBorder="1" applyAlignment="1">
      <alignment horizontal="center"/>
    </xf>
    <xf numFmtId="37" fontId="5" fillId="0" borderId="7" xfId="0" applyNumberFormat="1" applyFont="1" applyFill="1" applyBorder="1" applyAlignment="1">
      <alignment horizontal="center"/>
    </xf>
    <xf numFmtId="37" fontId="5" fillId="2" borderId="0" xfId="0" applyNumberFormat="1" applyFont="1" applyFill="1" applyBorder="1" applyAlignment="1">
      <alignment horizontal="center"/>
    </xf>
    <xf numFmtId="37" fontId="5" fillId="2" borderId="7" xfId="0" applyNumberFormat="1" applyFont="1" applyFill="1" applyBorder="1" applyAlignment="1">
      <alignment horizontal="center"/>
    </xf>
    <xf numFmtId="37" fontId="5" fillId="2" borderId="5" xfId="0" applyNumberFormat="1" applyFont="1" applyFill="1" applyBorder="1" applyAlignment="1">
      <alignment horizontal="center"/>
    </xf>
    <xf numFmtId="37" fontId="5" fillId="2" borderId="8" xfId="0" applyNumberFormat="1" applyFont="1" applyFill="1" applyBorder="1" applyAlignment="1">
      <alignment horizontal="center"/>
    </xf>
    <xf numFmtId="37" fontId="0" fillId="0" borderId="0" xfId="0" applyNumberFormat="1" applyFill="1" applyAlignment="1">
      <alignment horizontal="center" wrapText="1"/>
    </xf>
    <xf numFmtId="170" fontId="0" fillId="0" borderId="0" xfId="2" applyNumberFormat="1" applyFont="1" applyFill="1" applyAlignment="1">
      <alignment horizontal="center"/>
    </xf>
    <xf numFmtId="0" fontId="0" fillId="3" borderId="0" xfId="0" applyFill="1"/>
    <xf numFmtId="0" fontId="0" fillId="3" borderId="0" xfId="0" applyFill="1" applyAlignment="1">
      <alignment wrapText="1"/>
    </xf>
    <xf numFmtId="0" fontId="9" fillId="0" borderId="12" xfId="0" applyFont="1" applyBorder="1"/>
    <xf numFmtId="0" fontId="10" fillId="0" borderId="13" xfId="0" applyFont="1" applyBorder="1"/>
    <xf numFmtId="0" fontId="11" fillId="0" borderId="15" xfId="0" applyFont="1" applyBorder="1"/>
    <xf numFmtId="0" fontId="11" fillId="0" borderId="0" xfId="0" applyFont="1" applyBorder="1"/>
    <xf numFmtId="0" fontId="0" fillId="0" borderId="17" xfId="0" applyBorder="1"/>
    <xf numFmtId="0" fontId="0" fillId="0" borderId="18" xfId="0" applyBorder="1"/>
    <xf numFmtId="37" fontId="12" fillId="0" borderId="0" xfId="0" applyNumberFormat="1" applyFont="1" applyFill="1" applyAlignment="1">
      <alignment horizontal="center"/>
    </xf>
    <xf numFmtId="37" fontId="13" fillId="0" borderId="0" xfId="2" applyNumberFormat="1" applyFont="1" applyFill="1" applyAlignment="1">
      <alignment horizontal="left"/>
    </xf>
    <xf numFmtId="37" fontId="14" fillId="0" borderId="0" xfId="0" applyNumberFormat="1" applyFont="1" applyFill="1" applyAlignment="1">
      <alignment horizontal="center"/>
    </xf>
    <xf numFmtId="37" fontId="14" fillId="0" borderId="0" xfId="2" applyNumberFormat="1" applyFont="1" applyFill="1" applyAlignment="1">
      <alignment horizontal="left"/>
    </xf>
    <xf numFmtId="37" fontId="14" fillId="0" borderId="0" xfId="0" applyNumberFormat="1" applyFont="1" applyAlignment="1">
      <alignment horizontal="center"/>
    </xf>
    <xf numFmtId="37" fontId="15" fillId="0" borderId="0" xfId="0" applyNumberFormat="1" applyFont="1" applyFill="1" applyAlignment="1">
      <alignment horizontal="center" wrapText="1"/>
    </xf>
    <xf numFmtId="37" fontId="14" fillId="0" borderId="2" xfId="0" applyNumberFormat="1" applyFont="1" applyFill="1" applyBorder="1" applyAlignment="1">
      <alignment horizontal="center"/>
    </xf>
    <xf numFmtId="37" fontId="14" fillId="0" borderId="3" xfId="0" applyNumberFormat="1" applyFont="1" applyFill="1" applyBorder="1" applyAlignment="1">
      <alignment horizontal="center"/>
    </xf>
    <xf numFmtId="37" fontId="14" fillId="0" borderId="0" xfId="0" applyNumberFormat="1" applyFont="1" applyFill="1" applyBorder="1" applyAlignment="1">
      <alignment horizontal="center"/>
    </xf>
    <xf numFmtId="37" fontId="14" fillId="0" borderId="5" xfId="0" applyNumberFormat="1" applyFont="1" applyFill="1" applyBorder="1" applyAlignment="1">
      <alignment horizontal="center"/>
    </xf>
    <xf numFmtId="37" fontId="14" fillId="0" borderId="7" xfId="0" applyNumberFormat="1" applyFont="1" applyFill="1" applyBorder="1" applyAlignment="1">
      <alignment horizontal="center"/>
    </xf>
    <xf numFmtId="37" fontId="14" fillId="0" borderId="8" xfId="0" applyNumberFormat="1" applyFont="1" applyFill="1" applyBorder="1" applyAlignment="1">
      <alignment horizontal="center"/>
    </xf>
    <xf numFmtId="37" fontId="14" fillId="0" borderId="0" xfId="0" applyNumberFormat="1" applyFont="1" applyFill="1" applyAlignment="1">
      <alignment horizontal="left"/>
    </xf>
    <xf numFmtId="37" fontId="15" fillId="0" borderId="0" xfId="0" applyNumberFormat="1" applyFont="1" applyFill="1" applyAlignment="1">
      <alignment horizontal="center"/>
    </xf>
    <xf numFmtId="37" fontId="16" fillId="0" borderId="0" xfId="0" applyNumberFormat="1" applyFont="1" applyFill="1" applyAlignment="1">
      <alignment horizontal="center"/>
    </xf>
    <xf numFmtId="9" fontId="17" fillId="0" borderId="0" xfId="1" applyFont="1" applyFill="1" applyAlignment="1">
      <alignment horizontal="center"/>
    </xf>
    <xf numFmtId="37" fontId="14" fillId="0" borderId="10" xfId="0" applyNumberFormat="1" applyFont="1" applyFill="1" applyBorder="1" applyAlignment="1">
      <alignment horizontal="center"/>
    </xf>
    <xf numFmtId="37" fontId="14" fillId="0" borderId="11" xfId="0" applyNumberFormat="1" applyFont="1" applyFill="1" applyBorder="1" applyAlignment="1">
      <alignment horizontal="center"/>
    </xf>
    <xf numFmtId="37" fontId="15" fillId="0" borderId="0" xfId="0" applyNumberFormat="1" applyFont="1" applyFill="1" applyBorder="1" applyAlignment="1">
      <alignment horizontal="center"/>
    </xf>
    <xf numFmtId="168" fontId="14" fillId="0" borderId="0" xfId="0" applyNumberFormat="1" applyFont="1" applyFill="1" applyBorder="1" applyAlignment="1">
      <alignment horizontal="center"/>
    </xf>
    <xf numFmtId="168" fontId="14" fillId="0" borderId="5" xfId="0" applyNumberFormat="1" applyFont="1" applyFill="1" applyBorder="1" applyAlignment="1">
      <alignment horizontal="center"/>
    </xf>
    <xf numFmtId="0" fontId="15" fillId="0" borderId="0" xfId="0" applyFont="1" applyAlignment="1">
      <alignment horizontal="center" vertical="center" wrapText="1"/>
    </xf>
    <xf numFmtId="37" fontId="14" fillId="0" borderId="20" xfId="0" applyNumberFormat="1" applyFont="1" applyFill="1" applyBorder="1" applyAlignment="1">
      <alignment horizontal="center"/>
    </xf>
    <xf numFmtId="37" fontId="16" fillId="0" borderId="20" xfId="0" applyNumberFormat="1" applyFont="1" applyFill="1" applyBorder="1" applyAlignment="1">
      <alignment horizontal="center"/>
    </xf>
    <xf numFmtId="37" fontId="14" fillId="0" borderId="20" xfId="0" applyNumberFormat="1" applyFont="1" applyFill="1" applyBorder="1" applyAlignment="1">
      <alignment horizontal="center" wrapText="1"/>
    </xf>
    <xf numFmtId="0" fontId="15" fillId="0" borderId="20" xfId="0" applyFont="1" applyBorder="1" applyAlignment="1">
      <alignment horizontal="center" vertical="center" wrapText="1"/>
    </xf>
    <xf numFmtId="37" fontId="15" fillId="0" borderId="5" xfId="0" applyNumberFormat="1" applyFont="1" applyFill="1" applyBorder="1" applyAlignment="1">
      <alignment horizontal="center"/>
    </xf>
    <xf numFmtId="37" fontId="15" fillId="0" borderId="7" xfId="0" applyNumberFormat="1" applyFont="1" applyFill="1" applyBorder="1" applyAlignment="1">
      <alignment horizontal="center"/>
    </xf>
    <xf numFmtId="37" fontId="15" fillId="0" borderId="8" xfId="0" applyNumberFormat="1" applyFont="1" applyFill="1" applyBorder="1" applyAlignment="1">
      <alignment horizontal="center"/>
    </xf>
    <xf numFmtId="37" fontId="14" fillId="0" borderId="0" xfId="0" applyNumberFormat="1" applyFont="1" applyFill="1" applyAlignment="1">
      <alignment horizontal="center" wrapText="1"/>
    </xf>
    <xf numFmtId="9" fontId="18" fillId="0" borderId="0" xfId="1" applyFont="1" applyFill="1" applyAlignment="1">
      <alignment horizontal="center"/>
    </xf>
    <xf numFmtId="9" fontId="14" fillId="0" borderId="0" xfId="1" applyFont="1" applyFill="1" applyAlignment="1">
      <alignment horizontal="center"/>
    </xf>
    <xf numFmtId="166" fontId="14" fillId="0" borderId="0" xfId="0" applyNumberFormat="1" applyFont="1" applyFill="1" applyAlignment="1">
      <alignment horizontal="center"/>
    </xf>
    <xf numFmtId="167" fontId="14" fillId="0" borderId="0" xfId="0" applyNumberFormat="1" applyFont="1" applyFill="1" applyAlignment="1">
      <alignment horizontal="center"/>
    </xf>
    <xf numFmtId="37" fontId="17" fillId="0" borderId="0" xfId="0" applyNumberFormat="1" applyFont="1" applyFill="1" applyAlignment="1">
      <alignment horizontal="center"/>
    </xf>
    <xf numFmtId="37" fontId="15" fillId="0" borderId="20" xfId="0" applyNumberFormat="1" applyFont="1" applyFill="1" applyBorder="1" applyAlignment="1">
      <alignment horizontal="center"/>
    </xf>
    <xf numFmtId="171" fontId="0" fillId="0" borderId="0" xfId="0" applyNumberFormat="1" applyFill="1" applyAlignment="1">
      <alignment horizontal="center"/>
    </xf>
    <xf numFmtId="171" fontId="0" fillId="0" borderId="0" xfId="3" applyNumberFormat="1" applyFont="1" applyFill="1" applyAlignment="1">
      <alignment horizontal="center"/>
    </xf>
    <xf numFmtId="37" fontId="7" fillId="0" borderId="0" xfId="0" applyNumberFormat="1" applyFont="1" applyFill="1" applyAlignment="1">
      <alignment horizontal="left"/>
    </xf>
    <xf numFmtId="37" fontId="0" fillId="0" borderId="0" xfId="0" applyNumberFormat="1" applyFill="1" applyAlignment="1">
      <alignment horizontal="left" wrapText="1"/>
    </xf>
    <xf numFmtId="37" fontId="0" fillId="0" borderId="0" xfId="0" applyNumberFormat="1" applyFont="1" applyFill="1" applyAlignment="1">
      <alignment horizontal="left" wrapText="1"/>
    </xf>
    <xf numFmtId="171" fontId="0" fillId="2" borderId="0" xfId="0" applyNumberFormat="1" applyFill="1" applyAlignment="1">
      <alignment horizontal="center"/>
    </xf>
    <xf numFmtId="37" fontId="14" fillId="0" borderId="1" xfId="0" applyNumberFormat="1" applyFont="1" applyBorder="1" applyAlignment="1">
      <alignment horizontal="left" wrapText="1"/>
    </xf>
    <xf numFmtId="37" fontId="14" fillId="0" borderId="4" xfId="0" applyNumberFormat="1" applyFont="1" applyBorder="1" applyAlignment="1">
      <alignment horizontal="left" wrapText="1"/>
    </xf>
    <xf numFmtId="37" fontId="14" fillId="0" borderId="4" xfId="0" applyNumberFormat="1" applyFont="1" applyFill="1" applyBorder="1" applyAlignment="1">
      <alignment horizontal="left"/>
    </xf>
    <xf numFmtId="37" fontId="14" fillId="0" borderId="4" xfId="0" applyNumberFormat="1" applyFont="1" applyBorder="1" applyAlignment="1">
      <alignment horizontal="left"/>
    </xf>
    <xf numFmtId="37" fontId="14" fillId="0" borderId="6" xfId="0" applyNumberFormat="1" applyFont="1" applyBorder="1" applyAlignment="1">
      <alignment horizontal="left"/>
    </xf>
    <xf numFmtId="37" fontId="19" fillId="0" borderId="0" xfId="0" applyNumberFormat="1" applyFont="1" applyFill="1" applyAlignment="1">
      <alignment horizontal="center" wrapText="1"/>
    </xf>
    <xf numFmtId="37" fontId="17" fillId="0" borderId="9" xfId="0" applyNumberFormat="1" applyFont="1" applyBorder="1" applyAlignment="1">
      <alignment horizontal="center" wrapText="1"/>
    </xf>
    <xf numFmtId="37" fontId="17" fillId="0" borderId="0" xfId="0" applyNumberFormat="1" applyFont="1" applyFill="1" applyBorder="1" applyAlignment="1">
      <alignment horizontal="center"/>
    </xf>
    <xf numFmtId="37" fontId="14" fillId="0" borderId="1" xfId="0" applyNumberFormat="1" applyFont="1" applyFill="1" applyBorder="1" applyAlignment="1">
      <alignment horizontal="left"/>
    </xf>
    <xf numFmtId="37" fontId="14" fillId="0" borderId="6" xfId="0" applyNumberFormat="1" applyFont="1" applyFill="1" applyBorder="1" applyAlignment="1">
      <alignment horizontal="left"/>
    </xf>
    <xf numFmtId="37" fontId="17" fillId="0" borderId="20" xfId="0" applyNumberFormat="1" applyFont="1" applyFill="1" applyBorder="1" applyAlignment="1">
      <alignment horizontal="left"/>
    </xf>
    <xf numFmtId="37" fontId="17" fillId="0" borderId="21" xfId="0" applyNumberFormat="1" applyFont="1" applyFill="1" applyBorder="1" applyAlignment="1">
      <alignment horizontal="left"/>
    </xf>
    <xf numFmtId="0" fontId="17" fillId="0" borderId="20" xfId="0" applyFont="1" applyFill="1" applyBorder="1" applyAlignment="1">
      <alignment horizontal="left" wrapText="1"/>
    </xf>
    <xf numFmtId="0" fontId="17" fillId="0" borderId="20" xfId="0" applyFont="1" applyFill="1" applyBorder="1" applyAlignment="1">
      <alignment horizontal="left" vertical="center" wrapText="1"/>
    </xf>
    <xf numFmtId="37" fontId="14" fillId="0" borderId="20" xfId="0" applyNumberFormat="1" applyFont="1" applyFill="1" applyBorder="1" applyAlignment="1">
      <alignment horizontal="left"/>
    </xf>
    <xf numFmtId="37" fontId="14" fillId="0" borderId="21" xfId="0" applyNumberFormat="1" applyFont="1" applyFill="1" applyBorder="1" applyAlignment="1">
      <alignment horizontal="left" wrapText="1"/>
    </xf>
    <xf numFmtId="0" fontId="14" fillId="0" borderId="20" xfId="0" applyFont="1" applyFill="1" applyBorder="1" applyAlignment="1">
      <alignment horizontal="left" wrapText="1"/>
    </xf>
    <xf numFmtId="0" fontId="14" fillId="0" borderId="20" xfId="0" applyFont="1" applyBorder="1" applyAlignment="1">
      <alignment horizontal="left" wrapText="1"/>
    </xf>
    <xf numFmtId="0" fontId="14" fillId="0" borderId="20" xfId="0" applyFont="1" applyBorder="1" applyAlignment="1">
      <alignment horizontal="left" vertical="center" wrapText="1"/>
    </xf>
    <xf numFmtId="37" fontId="14" fillId="0" borderId="20" xfId="0" applyNumberFormat="1" applyFont="1" applyFill="1" applyBorder="1" applyAlignment="1">
      <alignment horizontal="left" wrapText="1"/>
    </xf>
    <xf numFmtId="37" fontId="14" fillId="0" borderId="21" xfId="0" applyNumberFormat="1" applyFont="1" applyFill="1" applyBorder="1" applyAlignment="1">
      <alignment horizontal="left"/>
    </xf>
    <xf numFmtId="37" fontId="14" fillId="0" borderId="22" xfId="0" applyNumberFormat="1" applyFont="1" applyFill="1" applyBorder="1" applyAlignment="1">
      <alignment horizontal="left"/>
    </xf>
    <xf numFmtId="0" fontId="14" fillId="0" borderId="20" xfId="0" applyFont="1" applyFill="1" applyBorder="1" applyAlignment="1">
      <alignment horizontal="left" vertical="center" wrapText="1"/>
    </xf>
    <xf numFmtId="37" fontId="14" fillId="0" borderId="23" xfId="0" applyNumberFormat="1" applyFont="1" applyFill="1" applyBorder="1" applyAlignment="1">
      <alignment horizontal="center"/>
    </xf>
    <xf numFmtId="37" fontId="14" fillId="0" borderId="23" xfId="0" applyNumberFormat="1" applyFont="1" applyFill="1" applyBorder="1" applyAlignment="1">
      <alignment horizontal="left"/>
    </xf>
    <xf numFmtId="0" fontId="17" fillId="0" borderId="20" xfId="0" applyFont="1" applyBorder="1" applyAlignment="1">
      <alignment horizontal="left" vertical="center" wrapText="1"/>
    </xf>
    <xf numFmtId="0" fontId="17" fillId="0" borderId="20" xfId="0" applyFont="1" applyBorder="1" applyAlignment="1">
      <alignment horizontal="left" wrapText="1"/>
    </xf>
    <xf numFmtId="37" fontId="19" fillId="0" borderId="20" xfId="0" applyNumberFormat="1" applyFont="1" applyFill="1" applyBorder="1" applyAlignment="1">
      <alignment horizontal="left"/>
    </xf>
    <xf numFmtId="0" fontId="19" fillId="0" borderId="20" xfId="0" applyFont="1" applyBorder="1" applyAlignment="1">
      <alignment horizontal="left" wrapText="1"/>
    </xf>
    <xf numFmtId="37" fontId="15" fillId="0" borderId="21" xfId="0" applyNumberFormat="1" applyFont="1" applyFill="1" applyBorder="1" applyAlignment="1">
      <alignment horizontal="center"/>
    </xf>
    <xf numFmtId="37" fontId="15" fillId="0" borderId="22" xfId="0" applyNumberFormat="1" applyFont="1" applyFill="1" applyBorder="1" applyAlignment="1">
      <alignment horizontal="left"/>
    </xf>
    <xf numFmtId="37" fontId="15" fillId="0" borderId="20" xfId="0" applyNumberFormat="1" applyFont="1" applyFill="1" applyBorder="1" applyAlignment="1">
      <alignment horizontal="left"/>
    </xf>
    <xf numFmtId="0" fontId="21" fillId="0" borderId="13" xfId="0" applyFont="1" applyBorder="1" applyAlignment="1">
      <alignment vertical="top" wrapText="1"/>
    </xf>
    <xf numFmtId="0" fontId="21" fillId="0" borderId="0" xfId="0" applyFont="1" applyBorder="1" applyAlignment="1">
      <alignment vertical="top" wrapText="1"/>
    </xf>
    <xf numFmtId="0" fontId="21" fillId="0" borderId="0" xfId="0" applyFont="1" applyBorder="1" applyAlignment="1">
      <alignment wrapText="1"/>
    </xf>
    <xf numFmtId="0" fontId="21" fillId="0" borderId="18" xfId="0" applyFont="1" applyBorder="1" applyAlignment="1">
      <alignment wrapText="1"/>
    </xf>
    <xf numFmtId="0" fontId="21" fillId="0" borderId="14" xfId="0" applyFont="1" applyBorder="1" applyAlignment="1">
      <alignment vertical="top" wrapText="1"/>
    </xf>
    <xf numFmtId="0" fontId="21" fillId="0" borderId="16" xfId="0" applyFont="1" applyBorder="1" applyAlignment="1">
      <alignment vertical="top" wrapText="1"/>
    </xf>
    <xf numFmtId="0" fontId="21" fillId="0" borderId="16" xfId="0" applyFont="1" applyBorder="1" applyAlignment="1">
      <alignment wrapText="1"/>
    </xf>
    <xf numFmtId="0" fontId="21" fillId="0" borderId="19" xfId="0" applyFont="1" applyBorder="1" applyAlignment="1">
      <alignment wrapText="1"/>
    </xf>
  </cellXfs>
  <cellStyles count="4">
    <cellStyle name="Відсотковий" xfId="1" builtinId="5"/>
    <cellStyle name="Грошовий" xfId="3" builtinId="4"/>
    <cellStyle name="Звичайний" xfId="0" builtinId="0"/>
    <cellStyle name="Фінансовий" xfId="2" builtinId="3"/>
  </cellStyles>
  <dxfs count="0"/>
  <tableStyles count="0" defaultTableStyle="TableStyleMedium2" defaultPivotStyle="PivotStyleLight16"/>
  <colors>
    <mruColors>
      <color rgb="FF3366FF"/>
      <color rgb="FF00FFCC"/>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Компоненти відповідальності</a:t>
            </a:r>
            <a:endParaRPr lang="en-CA" baseline="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lineChart>
        <c:grouping val="standard"/>
        <c:varyColors val="0"/>
        <c:ser>
          <c:idx val="0"/>
          <c:order val="0"/>
          <c:tx>
            <c:v>BEL</c:v>
          </c:tx>
          <c:spPr>
            <a:ln w="28575" cap="rnd">
              <a:solidFill>
                <a:schemeClr val="accent1"/>
              </a:solidFill>
              <a:round/>
            </a:ln>
            <a:effectLst/>
          </c:spPr>
          <c:marker>
            <c:symbol val="none"/>
          </c:marker>
          <c:val>
            <c:numRef>
              <c:f>Base!$F$61:$Y$61</c:f>
              <c:numCache>
                <c:formatCode>#,##0_);\(#,##0\)</c:formatCode>
                <c:ptCount val="20"/>
                <c:pt idx="0">
                  <c:v>-778304.07858913904</c:v>
                </c:pt>
                <c:pt idx="1">
                  <c:v>-618300.75373270467</c:v>
                </c:pt>
                <c:pt idx="2">
                  <c:v>-479565.32767721289</c:v>
                </c:pt>
                <c:pt idx="3">
                  <c:v>-343535.59111784375</c:v>
                </c:pt>
                <c:pt idx="4">
                  <c:v>-226162.17008791681</c:v>
                </c:pt>
                <c:pt idx="5">
                  <c:v>-126164.78505550713</c:v>
                </c:pt>
                <c:pt idx="6">
                  <c:v>-27696.028923882568</c:v>
                </c:pt>
                <c:pt idx="7">
                  <c:v>55552.275463579135</c:v>
                </c:pt>
                <c:pt idx="8">
                  <c:v>124640.92343598969</c:v>
                </c:pt>
                <c:pt idx="9">
                  <c:v>180557.41186805346</c:v>
                </c:pt>
                <c:pt idx="10">
                  <c:v>224220.0307841074</c:v>
                </c:pt>
                <c:pt idx="11">
                  <c:v>245196.41301100462</c:v>
                </c:pt>
                <c:pt idx="12">
                  <c:v>255689.47807823948</c:v>
                </c:pt>
                <c:pt idx="13">
                  <c:v>256410.97059933568</c:v>
                </c:pt>
                <c:pt idx="14">
                  <c:v>238384.81119147554</c:v>
                </c:pt>
                <c:pt idx="15">
                  <c:v>211964.80623205582</c:v>
                </c:pt>
                <c:pt idx="16">
                  <c:v>177688.67464841341</c:v>
                </c:pt>
                <c:pt idx="17">
                  <c:v>127835.93244728609</c:v>
                </c:pt>
                <c:pt idx="18">
                  <c:v>63387.894404339371</c:v>
                </c:pt>
                <c:pt idx="19">
                  <c:v>6.0208549257367849E-10</c:v>
                </c:pt>
              </c:numCache>
            </c:numRef>
          </c:val>
          <c:smooth val="0"/>
          <c:extLst>
            <c:ext xmlns:c16="http://schemas.microsoft.com/office/drawing/2014/chart" uri="{C3380CC4-5D6E-409C-BE32-E72D297353CC}">
              <c16:uniqueId val="{00000002-51A0-4D86-BFA9-737122D8241C}"/>
            </c:ext>
          </c:extLst>
        </c:ser>
        <c:ser>
          <c:idx val="1"/>
          <c:order val="1"/>
          <c:tx>
            <c:v>RA</c:v>
          </c:tx>
          <c:spPr>
            <a:ln w="28575" cap="rnd">
              <a:solidFill>
                <a:schemeClr val="accent2"/>
              </a:solidFill>
              <a:round/>
            </a:ln>
            <a:effectLst/>
          </c:spPr>
          <c:marker>
            <c:symbol val="none"/>
          </c:marker>
          <c:val>
            <c:numRef>
              <c:f>Base!$F$72:$Y$72</c:f>
              <c:numCache>
                <c:formatCode>#,##0_);\(#,##0\)</c:formatCode>
                <c:ptCount val="20"/>
                <c:pt idx="0">
                  <c:v>164524.12967923257</c:v>
                </c:pt>
                <c:pt idx="1">
                  <c:v>163508.29486640188</c:v>
                </c:pt>
                <c:pt idx="2">
                  <c:v>161031.22506105795</c:v>
                </c:pt>
                <c:pt idx="3">
                  <c:v>158910.45124430026</c:v>
                </c:pt>
                <c:pt idx="4">
                  <c:v>155511.30049387578</c:v>
                </c:pt>
                <c:pt idx="5">
                  <c:v>150926.1593249065</c:v>
                </c:pt>
                <c:pt idx="6">
                  <c:v>146705.4560838468</c:v>
                </c:pt>
                <c:pt idx="7">
                  <c:v>141444.89523163115</c:v>
                </c:pt>
                <c:pt idx="8">
                  <c:v>135218.82428369249</c:v>
                </c:pt>
                <c:pt idx="9">
                  <c:v>128095.37954474882</c:v>
                </c:pt>
                <c:pt idx="10">
                  <c:v>120136.83353676563</c:v>
                </c:pt>
                <c:pt idx="11">
                  <c:v>110271.3902483558</c:v>
                </c:pt>
                <c:pt idx="12">
                  <c:v>99693.308897155715</c:v>
                </c:pt>
                <c:pt idx="13">
                  <c:v>88446.928108757638</c:v>
                </c:pt>
                <c:pt idx="14">
                  <c:v>75608.641406773793</c:v>
                </c:pt>
                <c:pt idx="15">
                  <c:v>62189.969956148969</c:v>
                </c:pt>
                <c:pt idx="16">
                  <c:v>48220.1183324831</c:v>
                </c:pt>
                <c:pt idx="17">
                  <c:v>32903.160768661022</c:v>
                </c:pt>
                <c:pt idx="18">
                  <c:v>16315.147395924054</c:v>
                </c:pt>
                <c:pt idx="19">
                  <c:v>-2.1464074961841106E-10</c:v>
                </c:pt>
              </c:numCache>
            </c:numRef>
          </c:val>
          <c:smooth val="0"/>
          <c:extLst>
            <c:ext xmlns:c16="http://schemas.microsoft.com/office/drawing/2014/chart" uri="{C3380CC4-5D6E-409C-BE32-E72D297353CC}">
              <c16:uniqueId val="{00000003-51A0-4D86-BFA9-737122D8241C}"/>
            </c:ext>
          </c:extLst>
        </c:ser>
        <c:ser>
          <c:idx val="2"/>
          <c:order val="2"/>
          <c:tx>
            <c:v>CSM</c:v>
          </c:tx>
          <c:spPr>
            <a:ln w="28575" cap="rnd">
              <a:solidFill>
                <a:schemeClr val="accent3"/>
              </a:solidFill>
              <a:round/>
            </a:ln>
            <a:effectLst/>
          </c:spPr>
          <c:marker>
            <c:symbol val="none"/>
          </c:marker>
          <c:val>
            <c:numRef>
              <c:f>Base!$F$83:$Y$83</c:f>
              <c:numCache>
                <c:formatCode>#,##0_);\(#,##0\)</c:formatCode>
                <c:ptCount val="20"/>
                <c:pt idx="0">
                  <c:v>482587.41204315668</c:v>
                </c:pt>
                <c:pt idx="1">
                  <c:v>461328.32827587076</c:v>
                </c:pt>
                <c:pt idx="2">
                  <c:v>439722.50615426514</c:v>
                </c:pt>
                <c:pt idx="3">
                  <c:v>417753.98926755827</c:v>
                </c:pt>
                <c:pt idx="4">
                  <c:v>395401.99056788679</c:v>
                </c:pt>
                <c:pt idx="5">
                  <c:v>372649.03260623367</c:v>
                </c:pt>
                <c:pt idx="6">
                  <c:v>349476.86303648824</c:v>
                </c:pt>
                <c:pt idx="7">
                  <c:v>325862.46513371717</c:v>
                </c:pt>
                <c:pt idx="8">
                  <c:v>301785.89075298305</c:v>
                </c:pt>
                <c:pt idx="9">
                  <c:v>277226.32223716751</c:v>
                </c:pt>
                <c:pt idx="10">
                  <c:v>252162.03927478232</c:v>
                </c:pt>
                <c:pt idx="11">
                  <c:v>226570.38444033873</c:v>
                </c:pt>
                <c:pt idx="12">
                  <c:v>200431.43788980276</c:v>
                </c:pt>
                <c:pt idx="13">
                  <c:v>173720.60838575053</c:v>
                </c:pt>
                <c:pt idx="14">
                  <c:v>146412.25856152258</c:v>
                </c:pt>
                <c:pt idx="15">
                  <c:v>118483.22751815568</c:v>
                </c:pt>
                <c:pt idx="16">
                  <c:v>89905.707985718298</c:v>
                </c:pt>
                <c:pt idx="17">
                  <c:v>60650.723948480525</c:v>
                </c:pt>
                <c:pt idx="18">
                  <c:v>30691.502145820195</c:v>
                </c:pt>
                <c:pt idx="19">
                  <c:v>0</c:v>
                </c:pt>
              </c:numCache>
            </c:numRef>
          </c:val>
          <c:smooth val="0"/>
          <c:extLst>
            <c:ext xmlns:c16="http://schemas.microsoft.com/office/drawing/2014/chart" uri="{C3380CC4-5D6E-409C-BE32-E72D297353CC}">
              <c16:uniqueId val="{00000004-51A0-4D86-BFA9-737122D8241C}"/>
            </c:ext>
          </c:extLst>
        </c:ser>
        <c:ser>
          <c:idx val="3"/>
          <c:order val="3"/>
          <c:tx>
            <c:v>Загалом</c:v>
          </c:tx>
          <c:spPr>
            <a:ln w="28575" cap="rnd">
              <a:solidFill>
                <a:schemeClr val="accent4"/>
              </a:solidFill>
              <a:round/>
            </a:ln>
            <a:effectLst/>
          </c:spPr>
          <c:marker>
            <c:symbol val="none"/>
          </c:marker>
          <c:val>
            <c:numRef>
              <c:f>Base!$F$94:$Y$94</c:f>
              <c:numCache>
                <c:formatCode>#,##0_);\(#,##0\)</c:formatCode>
                <c:ptCount val="20"/>
                <c:pt idx="0">
                  <c:v>-131192.53686674975</c:v>
                </c:pt>
                <c:pt idx="1">
                  <c:v>6535.8694095679675</c:v>
                </c:pt>
                <c:pt idx="2">
                  <c:v>121188.4035381102</c:v>
                </c:pt>
                <c:pt idx="3">
                  <c:v>233128.84939401477</c:v>
                </c:pt>
                <c:pt idx="4">
                  <c:v>324751.12097384577</c:v>
                </c:pt>
                <c:pt idx="5">
                  <c:v>397410.40687563305</c:v>
                </c:pt>
                <c:pt idx="6">
                  <c:v>468486.29019645246</c:v>
                </c:pt>
                <c:pt idx="7">
                  <c:v>522859.63582892745</c:v>
                </c:pt>
                <c:pt idx="8">
                  <c:v>561645.63847266522</c:v>
                </c:pt>
                <c:pt idx="9">
                  <c:v>585879.1136499698</c:v>
                </c:pt>
                <c:pt idx="10">
                  <c:v>596518.90359565534</c:v>
                </c:pt>
                <c:pt idx="11">
                  <c:v>582038.18769969919</c:v>
                </c:pt>
                <c:pt idx="12">
                  <c:v>555814.2248651979</c:v>
                </c:pt>
                <c:pt idx="13">
                  <c:v>518578.50709384389</c:v>
                </c:pt>
                <c:pt idx="14">
                  <c:v>460405.71115977189</c:v>
                </c:pt>
                <c:pt idx="15">
                  <c:v>392638.00370636047</c:v>
                </c:pt>
                <c:pt idx="16">
                  <c:v>315814.50096661481</c:v>
                </c:pt>
                <c:pt idx="17">
                  <c:v>221389.81716442763</c:v>
                </c:pt>
                <c:pt idx="18">
                  <c:v>110394.54394608362</c:v>
                </c:pt>
                <c:pt idx="19">
                  <c:v>3.8744474295526743E-10</c:v>
                </c:pt>
              </c:numCache>
            </c:numRef>
          </c:val>
          <c:smooth val="0"/>
          <c:extLst>
            <c:ext xmlns:c16="http://schemas.microsoft.com/office/drawing/2014/chart" uri="{C3380CC4-5D6E-409C-BE32-E72D297353CC}">
              <c16:uniqueId val="{00000000-5E1D-44DA-9686-5C929B6F210F}"/>
            </c:ext>
          </c:extLst>
        </c:ser>
        <c:dLbls>
          <c:showLegendKey val="0"/>
          <c:showVal val="0"/>
          <c:showCatName val="0"/>
          <c:showSerName val="0"/>
          <c:showPercent val="0"/>
          <c:showBubbleSize val="0"/>
        </c:dLbls>
        <c:smooth val="0"/>
        <c:axId val="696982232"/>
        <c:axId val="696982560"/>
      </c:lineChart>
      <c:catAx>
        <c:axId val="6969822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uk-UA"/>
          </a:p>
        </c:txPr>
        <c:crossAx val="696982560"/>
        <c:crosses val="autoZero"/>
        <c:auto val="1"/>
        <c:lblAlgn val="ctr"/>
        <c:lblOffset val="100"/>
        <c:noMultiLvlLbl val="0"/>
      </c:catAx>
      <c:valAx>
        <c:axId val="696982560"/>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uk-UA"/>
          </a:p>
        </c:txPr>
        <c:crossAx val="696982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uk-UA"/>
              <a:t>Джерела</a:t>
            </a:r>
            <a:r>
              <a:rPr lang="uk-UA" baseline="0"/>
              <a:t> прибутку</a:t>
            </a:r>
            <a:endParaRPr lang="en-CA"/>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uk-UA"/>
        </a:p>
      </c:txPr>
    </c:title>
    <c:autoTitleDeleted val="0"/>
    <c:plotArea>
      <c:layout/>
      <c:lineChart>
        <c:grouping val="standard"/>
        <c:varyColors val="0"/>
        <c:ser>
          <c:idx val="0"/>
          <c:order val="0"/>
          <c:tx>
            <c:v>CSM</c:v>
          </c:tx>
          <c:spPr>
            <a:ln w="28575" cap="rnd">
              <a:solidFill>
                <a:schemeClr val="accent1"/>
              </a:solidFill>
              <a:round/>
            </a:ln>
            <a:effectLst/>
          </c:spPr>
          <c:marker>
            <c:symbol val="none"/>
          </c:marker>
          <c:val>
            <c:numRef>
              <c:f>Base!$F$105:$Y$105</c:f>
              <c:numCache>
                <c:formatCode>#,##0_);\(#,##0\)</c:formatCode>
                <c:ptCount val="20"/>
                <c:pt idx="0">
                  <c:v>41072.53686674979</c:v>
                </c:pt>
                <c:pt idx="1">
                  <c:v>40562.580249012222</c:v>
                </c:pt>
                <c:pt idx="2">
                  <c:v>40058.955252640495</c:v>
                </c:pt>
                <c:pt idx="3">
                  <c:v>39557.417132877446</c:v>
                </c:pt>
                <c:pt idx="4">
                  <c:v>39062.15827037381</c:v>
                </c:pt>
                <c:pt idx="5">
                  <c:v>38569.03758436862</c:v>
                </c:pt>
                <c:pt idx="6">
                  <c:v>38078.130873994785</c:v>
                </c:pt>
                <c:pt idx="7">
                  <c:v>37593.472424230575</c:v>
                </c:pt>
                <c:pt idx="8">
                  <c:v>37111.072986082843</c:v>
                </c:pt>
                <c:pt idx="9">
                  <c:v>36631.004145934879</c:v>
                </c:pt>
                <c:pt idx="10">
                  <c:v>36153.335851871896</c:v>
                </c:pt>
                <c:pt idx="11">
                  <c:v>35678.136405434896</c:v>
                </c:pt>
                <c:pt idx="12">
                  <c:v>35201.761928149528</c:v>
                </c:pt>
                <c:pt idx="13">
                  <c:v>34728.087019644357</c:v>
                </c:pt>
                <c:pt idx="14">
                  <c:v>34257.174159657974</c:v>
                </c:pt>
                <c:pt idx="15">
                  <c:v>33785.5213858278</c:v>
                </c:pt>
                <c:pt idx="16">
                  <c:v>33316.848633163601</c:v>
                </c:pt>
                <c:pt idx="17">
                  <c:v>32851.212356666503</c:v>
                </c:pt>
                <c:pt idx="18">
                  <c:v>32385.250760599549</c:v>
                </c:pt>
                <c:pt idx="19">
                  <c:v>31919.162231653005</c:v>
                </c:pt>
              </c:numCache>
            </c:numRef>
          </c:val>
          <c:smooth val="0"/>
          <c:extLst>
            <c:ext xmlns:c16="http://schemas.microsoft.com/office/drawing/2014/chart" uri="{C3380CC4-5D6E-409C-BE32-E72D297353CC}">
              <c16:uniqueId val="{00000000-1D52-48C5-959F-34FE7E3ADC76}"/>
            </c:ext>
          </c:extLst>
        </c:ser>
        <c:ser>
          <c:idx val="1"/>
          <c:order val="1"/>
          <c:tx>
            <c:v>RA</c:v>
          </c:tx>
          <c:spPr>
            <a:ln w="28575" cap="rnd">
              <a:solidFill>
                <a:schemeClr val="accent2"/>
              </a:solidFill>
              <a:round/>
            </a:ln>
            <a:effectLst/>
          </c:spPr>
          <c:marker>
            <c:symbol val="none"/>
          </c:marker>
          <c:val>
            <c:numRef>
              <c:f>Base!$F$106:$Y$106</c:f>
              <c:numCache>
                <c:formatCode>#,##0_);\(#,##0\)</c:formatCode>
                <c:ptCount val="20"/>
                <c:pt idx="0">
                  <c:v>8000</c:v>
                </c:pt>
                <c:pt idx="1">
                  <c:v>7596.8</c:v>
                </c:pt>
                <c:pt idx="2">
                  <c:v>9017.4016000000029</c:v>
                </c:pt>
                <c:pt idx="3">
                  <c:v>8562.0228192000013</c:v>
                </c:pt>
                <c:pt idx="4">
                  <c:v>9755.5688001964809</c:v>
                </c:pt>
                <c:pt idx="5">
                  <c:v>10805.593188724297</c:v>
                </c:pt>
                <c:pt idx="6">
                  <c:v>10257.749614055976</c:v>
                </c:pt>
                <c:pt idx="7">
                  <c:v>11128.779095569529</c:v>
                </c:pt>
                <c:pt idx="8">
                  <c:v>11883.866757203921</c:v>
                </c:pt>
                <c:pt idx="9">
                  <c:v>12532.197710291379</c:v>
                </c:pt>
                <c:pt idx="10">
                  <c:v>13082.361189773168</c:v>
                </c:pt>
                <c:pt idx="11">
                  <c:v>14670.916629880447</c:v>
                </c:pt>
                <c:pt idx="12">
                  <c:v>14988.936961134321</c:v>
                </c:pt>
                <c:pt idx="13">
                  <c:v>15234.113144284302</c:v>
                </c:pt>
                <c:pt idx="14">
                  <c:v>16376.163826334148</c:v>
                </c:pt>
                <c:pt idx="15">
                  <c:v>16443.017106895768</c:v>
                </c:pt>
                <c:pt idx="16">
                  <c:v>16457.450421911824</c:v>
                </c:pt>
                <c:pt idx="17">
                  <c:v>17245.7622971214</c:v>
                </c:pt>
                <c:pt idx="18">
                  <c:v>17904.139803483413</c:v>
                </c:pt>
                <c:pt idx="19">
                  <c:v>16967.75329176123</c:v>
                </c:pt>
              </c:numCache>
            </c:numRef>
          </c:val>
          <c:smooth val="0"/>
          <c:extLst>
            <c:ext xmlns:c16="http://schemas.microsoft.com/office/drawing/2014/chart" uri="{C3380CC4-5D6E-409C-BE32-E72D297353CC}">
              <c16:uniqueId val="{00000001-1D52-48C5-959F-34FE7E3ADC76}"/>
            </c:ext>
          </c:extLst>
        </c:ser>
        <c:ser>
          <c:idx val="2"/>
          <c:order val="2"/>
          <c:tx>
            <c:v>Витрати</c:v>
          </c:tx>
          <c:spPr>
            <a:ln w="28575" cap="rnd">
              <a:solidFill>
                <a:schemeClr val="accent3"/>
              </a:solidFill>
              <a:round/>
            </a:ln>
            <a:effectLst/>
          </c:spPr>
          <c:marker>
            <c:symbol val="none"/>
          </c:marker>
          <c:val>
            <c:numRef>
              <c:f>Base!$F$117:$Y$117</c:f>
              <c:numCache>
                <c:formatCode>#,##0_);\(#,##0\)</c:formatCode>
                <c:ptCount val="20"/>
                <c:pt idx="0">
                  <c:v>-75000</c:v>
                </c:pt>
                <c:pt idx="1">
                  <c:v>-14244</c:v>
                </c:pt>
                <c:pt idx="2">
                  <c:v>-13526.102400000002</c:v>
                </c:pt>
                <c:pt idx="3">
                  <c:v>-12843.034228800003</c:v>
                </c:pt>
                <c:pt idx="4">
                  <c:v>-12194.461000245601</c:v>
                </c:pt>
                <c:pt idx="5">
                  <c:v>-11577.421273633174</c:v>
                </c:pt>
                <c:pt idx="6">
                  <c:v>-10990.446015059973</c:v>
                </c:pt>
                <c:pt idx="7">
                  <c:v>-10433.230402096431</c:v>
                </c:pt>
                <c:pt idx="8">
                  <c:v>-9903.2222976699322</c:v>
                </c:pt>
                <c:pt idx="9">
                  <c:v>-9399.1482827185337</c:v>
                </c:pt>
                <c:pt idx="10">
                  <c:v>-8919.7917202998869</c:v>
                </c:pt>
                <c:pt idx="11">
                  <c:v>-8463.9903633925642</c:v>
                </c:pt>
                <c:pt idx="12">
                  <c:v>-8029.7876577505267</c:v>
                </c:pt>
                <c:pt idx="13">
                  <c:v>-7617.0565721421499</c:v>
                </c:pt>
                <c:pt idx="14">
                  <c:v>-7224.7781586768288</c:v>
                </c:pt>
                <c:pt idx="15">
                  <c:v>-6851.2571278732366</c:v>
                </c:pt>
                <c:pt idx="16">
                  <c:v>-6496.3620086494038</c:v>
                </c:pt>
                <c:pt idx="17">
                  <c:v>-6159.2008204005006</c:v>
                </c:pt>
                <c:pt idx="18">
                  <c:v>-5838.3064576576344</c:v>
                </c:pt>
                <c:pt idx="19">
                  <c:v>-5532.9630299221399</c:v>
                </c:pt>
              </c:numCache>
            </c:numRef>
          </c:val>
          <c:smooth val="0"/>
          <c:extLst>
            <c:ext xmlns:c16="http://schemas.microsoft.com/office/drawing/2014/chart" uri="{C3380CC4-5D6E-409C-BE32-E72D297353CC}">
              <c16:uniqueId val="{00000002-1D52-48C5-959F-34FE7E3ADC76}"/>
            </c:ext>
          </c:extLst>
        </c:ser>
        <c:ser>
          <c:idx val="3"/>
          <c:order val="3"/>
          <c:tx>
            <c:v>Інвестиції</c:v>
          </c:tx>
          <c:spPr>
            <a:ln w="28575" cap="rnd">
              <a:solidFill>
                <a:schemeClr val="accent4"/>
              </a:solidFill>
              <a:round/>
            </a:ln>
            <a:effectLst/>
          </c:spPr>
          <c:marker>
            <c:symbol val="none"/>
          </c:marker>
          <c:val>
            <c:numRef>
              <c:f>Base!$F$121:$Y$121</c:f>
              <c:numCache>
                <c:formatCode>#,##0_);\(#,##0\)</c:formatCode>
                <c:ptCount val="20"/>
                <c:pt idx="0">
                  <c:v>110</c:v>
                </c:pt>
                <c:pt idx="1">
                  <c:v>742.32331566625453</c:v>
                </c:pt>
                <c:pt idx="2">
                  <c:v>1360.4917326478353</c:v>
                </c:pt>
                <c:pt idx="3">
                  <c:v>1866.6998778177476</c:v>
                </c:pt>
                <c:pt idx="4">
                  <c:v>2362.7338351608523</c:v>
                </c:pt>
                <c:pt idx="5">
                  <c:v>2760.2724598975547</c:v>
                </c:pt>
                <c:pt idx="6">
                  <c:v>3065.9474848565515</c:v>
                </c:pt>
                <c:pt idx="7">
                  <c:v>3366.6269021213957</c:v>
                </c:pt>
                <c:pt idx="8">
                  <c:v>3586.4645013658992</c:v>
                </c:pt>
                <c:pt idx="9">
                  <c:v>3730.9112487835264</c:v>
                </c:pt>
                <c:pt idx="10">
                  <c:v>3805.0217887926265</c:v>
                </c:pt>
                <c:pt idx="11">
                  <c:v>3813.4762386513175</c:v>
                </c:pt>
                <c:pt idx="12">
                  <c:v>3698.448426900999</c:v>
                </c:pt>
                <c:pt idx="13">
                  <c:v>3526.8121778246059</c:v>
                </c:pt>
                <c:pt idx="14">
                  <c:v>3302.1249247126616</c:v>
                </c:pt>
                <c:pt idx="15">
                  <c:v>2974.5936305184114</c:v>
                </c:pt>
                <c:pt idx="16">
                  <c:v>2600.9162223808817</c:v>
                </c:pt>
                <c:pt idx="17">
                  <c:v>2183.7007187023883</c:v>
                </c:pt>
                <c:pt idx="18">
                  <c:v>1680.0761697488615</c:v>
                </c:pt>
                <c:pt idx="19">
                  <c:v>1095.1252571677742</c:v>
                </c:pt>
              </c:numCache>
            </c:numRef>
          </c:val>
          <c:smooth val="0"/>
          <c:extLst>
            <c:ext xmlns:c16="http://schemas.microsoft.com/office/drawing/2014/chart" uri="{C3380CC4-5D6E-409C-BE32-E72D297353CC}">
              <c16:uniqueId val="{00000003-1D52-48C5-959F-34FE7E3ADC76}"/>
            </c:ext>
          </c:extLst>
        </c:ser>
        <c:ser>
          <c:idx val="4"/>
          <c:order val="4"/>
          <c:tx>
            <c:v>Загалом</c:v>
          </c:tx>
          <c:spPr>
            <a:ln w="28575" cap="rnd">
              <a:solidFill>
                <a:schemeClr val="accent5"/>
              </a:solidFill>
              <a:round/>
            </a:ln>
            <a:effectLst/>
          </c:spPr>
          <c:marker>
            <c:symbol val="none"/>
          </c:marker>
          <c:val>
            <c:numRef>
              <c:f>Base!$F$123:$Y$123</c:f>
              <c:numCache>
                <c:formatCode>#,##0_);\(#,##0\)</c:formatCode>
                <c:ptCount val="20"/>
                <c:pt idx="0">
                  <c:v>-25817.463133250218</c:v>
                </c:pt>
                <c:pt idx="1">
                  <c:v>34657.703564678515</c:v>
                </c:pt>
                <c:pt idx="2">
                  <c:v>36910.746185288343</c:v>
                </c:pt>
                <c:pt idx="3">
                  <c:v>37143.105601095202</c:v>
                </c:pt>
                <c:pt idx="4">
                  <c:v>38985.999905485529</c:v>
                </c:pt>
                <c:pt idx="5">
                  <c:v>40557.481959357319</c:v>
                </c:pt>
                <c:pt idx="6">
                  <c:v>40411.381957847327</c:v>
                </c:pt>
                <c:pt idx="7">
                  <c:v>41655.648019825072</c:v>
                </c:pt>
                <c:pt idx="8">
                  <c:v>42678.181946982717</c:v>
                </c:pt>
                <c:pt idx="9">
                  <c:v>43494.964822291251</c:v>
                </c:pt>
                <c:pt idx="10">
                  <c:v>44120.927110137774</c:v>
                </c:pt>
                <c:pt idx="11">
                  <c:v>45698.538910574112</c:v>
                </c:pt>
                <c:pt idx="12">
                  <c:v>45859.359658434318</c:v>
                </c:pt>
                <c:pt idx="13">
                  <c:v>45871.95576961113</c:v>
                </c:pt>
                <c:pt idx="14">
                  <c:v>46710.684752027948</c:v>
                </c:pt>
                <c:pt idx="15">
                  <c:v>46351.874995368751</c:v>
                </c:pt>
                <c:pt idx="16">
                  <c:v>45878.853268806895</c:v>
                </c:pt>
                <c:pt idx="17">
                  <c:v>46121.4745520898</c:v>
                </c:pt>
                <c:pt idx="18">
                  <c:v>46131.160276174203</c:v>
                </c:pt>
                <c:pt idx="19">
                  <c:v>44449.077750659846</c:v>
                </c:pt>
              </c:numCache>
            </c:numRef>
          </c:val>
          <c:smooth val="0"/>
          <c:extLst>
            <c:ext xmlns:c16="http://schemas.microsoft.com/office/drawing/2014/chart" uri="{C3380CC4-5D6E-409C-BE32-E72D297353CC}">
              <c16:uniqueId val="{00000004-1D52-48C5-959F-34FE7E3ADC76}"/>
            </c:ext>
          </c:extLst>
        </c:ser>
        <c:dLbls>
          <c:showLegendKey val="0"/>
          <c:showVal val="0"/>
          <c:showCatName val="0"/>
          <c:showSerName val="0"/>
          <c:showPercent val="0"/>
          <c:showBubbleSize val="0"/>
        </c:dLbls>
        <c:smooth val="0"/>
        <c:axId val="631412880"/>
        <c:axId val="631414192"/>
      </c:lineChart>
      <c:catAx>
        <c:axId val="6314128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uk-UA"/>
          </a:p>
        </c:txPr>
        <c:crossAx val="631414192"/>
        <c:crosses val="autoZero"/>
        <c:auto val="1"/>
        <c:lblAlgn val="ctr"/>
        <c:lblOffset val="100"/>
        <c:noMultiLvlLbl val="0"/>
      </c:catAx>
      <c:valAx>
        <c:axId val="631414192"/>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uk-UA"/>
          </a:p>
        </c:txPr>
        <c:crossAx val="631412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uk-UA"/>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uk-U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428624</xdr:colOff>
      <xdr:row>125</xdr:row>
      <xdr:rowOff>168274</xdr:rowOff>
    </xdr:from>
    <xdr:to>
      <xdr:col>14</xdr:col>
      <xdr:colOff>571499</xdr:colOff>
      <xdr:row>145</xdr:row>
      <xdr:rowOff>95249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227541</xdr:colOff>
      <xdr:row>125</xdr:row>
      <xdr:rowOff>178859</xdr:rowOff>
    </xdr:from>
    <xdr:to>
      <xdr:col>24</xdr:col>
      <xdr:colOff>529167</xdr:colOff>
      <xdr:row>145</xdr:row>
      <xdr:rowOff>127000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5"/>
  <sheetViews>
    <sheetView showGridLines="0" tabSelected="1" workbookViewId="0">
      <selection activeCell="E18" sqref="E18"/>
    </sheetView>
  </sheetViews>
  <sheetFormatPr defaultColWidth="9.109375" defaultRowHeight="14.4" x14ac:dyDescent="0.3"/>
  <cols>
    <col min="1" max="1" width="2.33203125" style="52" customWidth="1"/>
    <col min="2" max="2" width="7" style="52" customWidth="1"/>
    <col min="3" max="4" width="9.109375" style="52" customWidth="1"/>
    <col min="5" max="9" width="9.109375" style="52"/>
    <col min="10" max="10" width="2.88671875" style="52" customWidth="1"/>
    <col min="11" max="11" width="1.88671875" style="52" customWidth="1"/>
    <col min="12" max="16384" width="9.109375" style="52"/>
  </cols>
  <sheetData>
    <row r="2" spans="3:11" ht="17.25" customHeight="1" x14ac:dyDescent="0.35">
      <c r="C2" s="54" t="s">
        <v>5</v>
      </c>
      <c r="D2" s="56"/>
      <c r="E2" s="56"/>
      <c r="F2" s="56"/>
      <c r="G2" s="56"/>
      <c r="H2" s="56"/>
      <c r="I2" s="56"/>
      <c r="J2" s="56"/>
      <c r="K2" s="58"/>
    </row>
    <row r="3" spans="3:11" ht="15.6" x14ac:dyDescent="0.3">
      <c r="C3" s="55"/>
      <c r="D3" s="57"/>
      <c r="E3" s="57"/>
      <c r="F3" s="57"/>
      <c r="G3" s="57"/>
      <c r="H3" s="57"/>
      <c r="I3" s="57"/>
      <c r="J3" s="57"/>
      <c r="K3" s="59"/>
    </row>
    <row r="4" spans="3:11" x14ac:dyDescent="0.3">
      <c r="C4" s="134" t="s">
        <v>95</v>
      </c>
      <c r="D4" s="135"/>
      <c r="E4" s="135"/>
      <c r="F4" s="135"/>
      <c r="G4" s="135"/>
      <c r="H4" s="135"/>
      <c r="I4" s="135"/>
      <c r="J4" s="136"/>
      <c r="K4" s="137"/>
    </row>
    <row r="5" spans="3:11" s="53" customFormat="1" x14ac:dyDescent="0.3">
      <c r="C5" s="134"/>
      <c r="D5" s="135"/>
      <c r="E5" s="135"/>
      <c r="F5" s="135"/>
      <c r="G5" s="135"/>
      <c r="H5" s="135"/>
      <c r="I5" s="135"/>
      <c r="J5" s="136"/>
      <c r="K5" s="137"/>
    </row>
    <row r="6" spans="3:11" x14ac:dyDescent="0.3">
      <c r="C6" s="134"/>
      <c r="D6" s="135"/>
      <c r="E6" s="135"/>
      <c r="F6" s="135"/>
      <c r="G6" s="135"/>
      <c r="H6" s="135"/>
      <c r="I6" s="135"/>
      <c r="J6" s="136"/>
      <c r="K6" s="137"/>
    </row>
    <row r="7" spans="3:11" x14ac:dyDescent="0.3">
      <c r="C7" s="134"/>
      <c r="D7" s="135"/>
      <c r="E7" s="135"/>
      <c r="F7" s="135"/>
      <c r="G7" s="135"/>
      <c r="H7" s="135"/>
      <c r="I7" s="135"/>
      <c r="J7" s="136"/>
      <c r="K7" s="137"/>
    </row>
    <row r="8" spans="3:11" x14ac:dyDescent="0.3">
      <c r="C8" s="134"/>
      <c r="D8" s="135"/>
      <c r="E8" s="135"/>
      <c r="F8" s="135"/>
      <c r="G8" s="135"/>
      <c r="H8" s="135"/>
      <c r="I8" s="135"/>
      <c r="J8" s="136"/>
      <c r="K8" s="137"/>
    </row>
    <row r="9" spans="3:11" x14ac:dyDescent="0.3">
      <c r="C9" s="134"/>
      <c r="D9" s="135"/>
      <c r="E9" s="135"/>
      <c r="F9" s="135"/>
      <c r="G9" s="135"/>
      <c r="H9" s="135"/>
      <c r="I9" s="135"/>
      <c r="J9" s="136"/>
      <c r="K9" s="137"/>
    </row>
    <row r="10" spans="3:11" x14ac:dyDescent="0.3">
      <c r="C10" s="134"/>
      <c r="D10" s="135"/>
      <c r="E10" s="135"/>
      <c r="F10" s="135"/>
      <c r="G10" s="135"/>
      <c r="H10" s="135"/>
      <c r="I10" s="135"/>
      <c r="J10" s="136"/>
      <c r="K10" s="137"/>
    </row>
    <row r="11" spans="3:11" x14ac:dyDescent="0.3">
      <c r="C11" s="134"/>
      <c r="D11" s="135"/>
      <c r="E11" s="135"/>
      <c r="F11" s="135"/>
      <c r="G11" s="135"/>
      <c r="H11" s="135"/>
      <c r="I11" s="135"/>
      <c r="J11" s="136"/>
      <c r="K11" s="137"/>
    </row>
    <row r="12" spans="3:11" x14ac:dyDescent="0.3">
      <c r="C12" s="134"/>
      <c r="D12" s="135"/>
      <c r="E12" s="135"/>
      <c r="F12" s="135"/>
      <c r="G12" s="135"/>
      <c r="H12" s="135"/>
      <c r="I12" s="135"/>
      <c r="J12" s="136"/>
      <c r="K12" s="137"/>
    </row>
    <row r="13" spans="3:11" x14ac:dyDescent="0.3">
      <c r="C13" s="134"/>
      <c r="D13" s="135"/>
      <c r="E13" s="135"/>
      <c r="F13" s="135"/>
      <c r="G13" s="135"/>
      <c r="H13" s="135"/>
      <c r="I13" s="135"/>
      <c r="J13" s="136"/>
      <c r="K13" s="137"/>
    </row>
    <row r="14" spans="3:11" x14ac:dyDescent="0.3">
      <c r="C14" s="138"/>
      <c r="D14" s="139"/>
      <c r="E14" s="139"/>
      <c r="F14" s="139"/>
      <c r="G14" s="139"/>
      <c r="H14" s="139"/>
      <c r="I14" s="139"/>
      <c r="J14" s="140"/>
      <c r="K14" s="141"/>
    </row>
    <row r="15" spans="3:11" s="53" customFormat="1" x14ac:dyDescent="0.3"/>
  </sheetData>
  <mergeCells count="1">
    <mergeCell ref="C4:K14"/>
  </mergeCells>
  <pageMargins left="0.25" right="0.25" top="0.75" bottom="0.75" header="0.3" footer="0.3"/>
  <pageSetup paperSize="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70"/>
  <sheetViews>
    <sheetView zoomScale="115" zoomScaleNormal="115" workbookViewId="0">
      <pane xSplit="3" ySplit="5" topLeftCell="D6" activePane="bottomRight" state="frozen"/>
      <selection pane="topRight" activeCell="D1" sqref="D1"/>
      <selection pane="bottomLeft" activeCell="A6" sqref="A6"/>
      <selection pane="bottomRight" activeCell="C2" sqref="C2"/>
    </sheetView>
  </sheetViews>
  <sheetFormatPr defaultColWidth="9.109375" defaultRowHeight="14.4" x14ac:dyDescent="0.3"/>
  <cols>
    <col min="1" max="1" width="4.109375" style="2" customWidth="1"/>
    <col min="2" max="2" width="9.109375" style="2" customWidth="1"/>
    <col min="3" max="3" width="47.5546875" style="2" customWidth="1"/>
    <col min="4" max="4" width="12.44140625" style="2" bestFit="1" customWidth="1"/>
    <col min="5" max="16384" width="9.109375" style="2"/>
  </cols>
  <sheetData>
    <row r="2" spans="2:23" ht="15.6" x14ac:dyDescent="0.3">
      <c r="B2" s="13"/>
      <c r="C2" s="9" t="s">
        <v>96</v>
      </c>
    </row>
    <row r="3" spans="2:23" x14ac:dyDescent="0.3">
      <c r="B3" s="4"/>
    </row>
    <row r="4" spans="2:23" x14ac:dyDescent="0.3">
      <c r="B4" s="4"/>
    </row>
    <row r="5" spans="2:23" x14ac:dyDescent="0.3">
      <c r="D5" s="1">
        <v>1</v>
      </c>
      <c r="E5" s="1">
        <f t="shared" ref="E5:W5" si="0">D5+1</f>
        <v>2</v>
      </c>
      <c r="F5" s="1">
        <f t="shared" si="0"/>
        <v>3</v>
      </c>
      <c r="G5" s="1">
        <f t="shared" si="0"/>
        <v>4</v>
      </c>
      <c r="H5" s="1">
        <f t="shared" si="0"/>
        <v>5</v>
      </c>
      <c r="I5" s="1">
        <f t="shared" si="0"/>
        <v>6</v>
      </c>
      <c r="J5" s="1">
        <f t="shared" si="0"/>
        <v>7</v>
      </c>
      <c r="K5" s="1">
        <f t="shared" si="0"/>
        <v>8</v>
      </c>
      <c r="L5" s="1">
        <f t="shared" si="0"/>
        <v>9</v>
      </c>
      <c r="M5" s="1">
        <f t="shared" si="0"/>
        <v>10</v>
      </c>
      <c r="N5" s="1">
        <f t="shared" si="0"/>
        <v>11</v>
      </c>
      <c r="O5" s="1">
        <f t="shared" si="0"/>
        <v>12</v>
      </c>
      <c r="P5" s="1">
        <f t="shared" si="0"/>
        <v>13</v>
      </c>
      <c r="Q5" s="1">
        <f t="shared" si="0"/>
        <v>14</v>
      </c>
      <c r="R5" s="1">
        <f t="shared" si="0"/>
        <v>15</v>
      </c>
      <c r="S5" s="1">
        <f t="shared" si="0"/>
        <v>16</v>
      </c>
      <c r="T5" s="1">
        <f t="shared" si="0"/>
        <v>17</v>
      </c>
      <c r="U5" s="1">
        <f t="shared" si="0"/>
        <v>18</v>
      </c>
      <c r="V5" s="1">
        <f t="shared" si="0"/>
        <v>19</v>
      </c>
      <c r="W5" s="1">
        <f t="shared" si="0"/>
        <v>20</v>
      </c>
    </row>
    <row r="6" spans="2:23" x14ac:dyDescent="0.3">
      <c r="C6" s="9" t="s">
        <v>7</v>
      </c>
      <c r="D6" s="97">
        <v>200000</v>
      </c>
    </row>
    <row r="7" spans="2:23" x14ac:dyDescent="0.3">
      <c r="C7" s="9" t="s">
        <v>6</v>
      </c>
      <c r="D7" s="2">
        <v>1000</v>
      </c>
      <c r="E7" s="2">
        <v>0</v>
      </c>
      <c r="F7" s="2">
        <v>0</v>
      </c>
      <c r="G7" s="2">
        <v>0</v>
      </c>
      <c r="H7" s="2">
        <v>0</v>
      </c>
      <c r="I7" s="2">
        <v>0</v>
      </c>
      <c r="J7" s="2">
        <v>0</v>
      </c>
      <c r="K7" s="2">
        <v>0</v>
      </c>
      <c r="L7" s="2">
        <v>0</v>
      </c>
      <c r="M7" s="2">
        <v>0</v>
      </c>
      <c r="N7" s="2">
        <v>0</v>
      </c>
      <c r="O7" s="2">
        <v>0</v>
      </c>
      <c r="P7" s="2">
        <v>0</v>
      </c>
      <c r="Q7" s="2">
        <v>0</v>
      </c>
      <c r="R7" s="2">
        <v>0</v>
      </c>
      <c r="S7" s="2">
        <v>0</v>
      </c>
      <c r="T7" s="2">
        <v>0</v>
      </c>
      <c r="U7" s="2">
        <v>0</v>
      </c>
      <c r="V7" s="2">
        <v>0</v>
      </c>
      <c r="W7" s="2">
        <v>0</v>
      </c>
    </row>
    <row r="8" spans="2:23" x14ac:dyDescent="0.3">
      <c r="C8" s="9" t="s">
        <v>34</v>
      </c>
      <c r="D8" s="14">
        <v>1.2</v>
      </c>
      <c r="E8" s="14">
        <v>1.2</v>
      </c>
      <c r="F8" s="14">
        <v>1.2</v>
      </c>
      <c r="G8" s="14">
        <v>1.2</v>
      </c>
      <c r="H8" s="14">
        <v>1.2</v>
      </c>
      <c r="I8" s="14">
        <v>1.2</v>
      </c>
      <c r="J8" s="14">
        <v>1.2</v>
      </c>
      <c r="K8" s="14">
        <v>1.2</v>
      </c>
      <c r="L8" s="14">
        <v>1.2</v>
      </c>
      <c r="M8" s="14">
        <v>1.2</v>
      </c>
      <c r="N8" s="14">
        <v>1.2</v>
      </c>
      <c r="O8" s="14">
        <v>1.2</v>
      </c>
      <c r="P8" s="14">
        <v>1.2</v>
      </c>
      <c r="Q8" s="14">
        <v>1.2</v>
      </c>
      <c r="R8" s="14">
        <v>1.2</v>
      </c>
      <c r="S8" s="14">
        <v>1.2</v>
      </c>
      <c r="T8" s="14">
        <v>1.2</v>
      </c>
      <c r="U8" s="14">
        <v>1.2</v>
      </c>
      <c r="V8" s="14">
        <v>1.2</v>
      </c>
      <c r="W8" s="14">
        <v>1.2</v>
      </c>
    </row>
    <row r="9" spans="2:23" x14ac:dyDescent="0.3">
      <c r="B9" s="3"/>
      <c r="C9" s="9" t="s">
        <v>40</v>
      </c>
      <c r="D9" s="96">
        <v>70</v>
      </c>
      <c r="E9" s="96">
        <v>70</v>
      </c>
      <c r="F9" s="96">
        <v>70</v>
      </c>
      <c r="G9" s="96">
        <v>70</v>
      </c>
      <c r="H9" s="96">
        <v>70</v>
      </c>
      <c r="I9" s="96">
        <v>70</v>
      </c>
      <c r="J9" s="96">
        <v>70</v>
      </c>
      <c r="K9" s="96">
        <v>70</v>
      </c>
      <c r="L9" s="96">
        <v>70</v>
      </c>
      <c r="M9" s="96">
        <v>70</v>
      </c>
      <c r="N9" s="96">
        <v>70</v>
      </c>
      <c r="O9" s="96">
        <v>70</v>
      </c>
      <c r="P9" s="96">
        <v>70</v>
      </c>
      <c r="Q9" s="96">
        <v>70</v>
      </c>
      <c r="R9" s="96">
        <v>70</v>
      </c>
      <c r="S9" s="96">
        <v>70</v>
      </c>
      <c r="T9" s="96">
        <v>70</v>
      </c>
      <c r="U9" s="96">
        <v>70</v>
      </c>
      <c r="V9" s="96">
        <v>70</v>
      </c>
      <c r="W9" s="96">
        <v>70</v>
      </c>
    </row>
    <row r="10" spans="2:23" x14ac:dyDescent="0.3">
      <c r="C10" s="9" t="s">
        <v>41</v>
      </c>
      <c r="D10" s="10">
        <v>0.8</v>
      </c>
      <c r="E10" s="10">
        <v>0.05</v>
      </c>
      <c r="F10" s="10">
        <v>0.05</v>
      </c>
      <c r="G10" s="10">
        <v>0.05</v>
      </c>
      <c r="H10" s="10">
        <v>0.05</v>
      </c>
      <c r="I10" s="10">
        <v>0.05</v>
      </c>
      <c r="J10" s="10">
        <v>0.05</v>
      </c>
      <c r="K10" s="10">
        <v>0.05</v>
      </c>
      <c r="L10" s="10">
        <v>0.05</v>
      </c>
      <c r="M10" s="10">
        <v>0.05</v>
      </c>
      <c r="N10" s="10">
        <v>0.05</v>
      </c>
      <c r="O10" s="10">
        <v>0.05</v>
      </c>
      <c r="P10" s="10">
        <v>0.05</v>
      </c>
      <c r="Q10" s="10">
        <v>0.05</v>
      </c>
      <c r="R10" s="10">
        <v>0.05</v>
      </c>
      <c r="S10" s="10">
        <v>0.05</v>
      </c>
      <c r="T10" s="10">
        <v>0.05</v>
      </c>
      <c r="U10" s="10">
        <v>0.05</v>
      </c>
      <c r="V10" s="10">
        <v>0.05</v>
      </c>
      <c r="W10" s="10">
        <v>0.05</v>
      </c>
    </row>
    <row r="11" spans="2:23" x14ac:dyDescent="0.3">
      <c r="C11" s="9" t="s">
        <v>45</v>
      </c>
      <c r="D11" s="96">
        <v>40</v>
      </c>
      <c r="E11" s="96"/>
      <c r="F11" s="96"/>
      <c r="G11" s="96"/>
      <c r="H11" s="96"/>
      <c r="I11" s="96"/>
      <c r="J11" s="96"/>
      <c r="K11" s="96"/>
      <c r="L11" s="96"/>
      <c r="M11" s="96"/>
      <c r="N11" s="96"/>
      <c r="O11" s="96"/>
      <c r="P11" s="96"/>
      <c r="Q11" s="96"/>
      <c r="R11" s="96"/>
      <c r="S11" s="96"/>
      <c r="T11" s="96"/>
      <c r="U11" s="96"/>
      <c r="V11" s="96"/>
      <c r="W11" s="96"/>
    </row>
    <row r="12" spans="2:23" x14ac:dyDescent="0.3">
      <c r="C12" s="9" t="s">
        <v>46</v>
      </c>
      <c r="D12" s="96">
        <v>60</v>
      </c>
      <c r="E12" s="96"/>
      <c r="F12" s="96"/>
      <c r="G12" s="96"/>
      <c r="H12" s="96"/>
      <c r="I12" s="96"/>
      <c r="J12" s="96"/>
      <c r="K12" s="96"/>
      <c r="L12" s="96"/>
      <c r="M12" s="96"/>
      <c r="N12" s="96"/>
      <c r="O12" s="96"/>
      <c r="P12" s="96"/>
      <c r="Q12" s="96"/>
      <c r="R12" s="96"/>
      <c r="S12" s="96"/>
      <c r="T12" s="96"/>
      <c r="U12" s="96"/>
      <c r="V12" s="96"/>
      <c r="W12" s="96"/>
    </row>
    <row r="13" spans="2:23" x14ac:dyDescent="0.3">
      <c r="B13" s="3"/>
      <c r="C13" s="9" t="s">
        <v>47</v>
      </c>
      <c r="D13" s="96">
        <v>25</v>
      </c>
      <c r="E13" s="96">
        <v>25</v>
      </c>
      <c r="F13" s="96">
        <v>25</v>
      </c>
      <c r="G13" s="96">
        <v>25</v>
      </c>
      <c r="H13" s="96">
        <v>25</v>
      </c>
      <c r="I13" s="96">
        <v>25</v>
      </c>
      <c r="J13" s="96">
        <v>25</v>
      </c>
      <c r="K13" s="96">
        <v>25</v>
      </c>
      <c r="L13" s="96">
        <v>25</v>
      </c>
      <c r="M13" s="96">
        <v>25</v>
      </c>
      <c r="N13" s="96">
        <v>25</v>
      </c>
      <c r="O13" s="96">
        <v>25</v>
      </c>
      <c r="P13" s="96">
        <v>25</v>
      </c>
      <c r="Q13" s="96">
        <v>25</v>
      </c>
      <c r="R13" s="96">
        <v>25</v>
      </c>
      <c r="S13" s="96">
        <v>25</v>
      </c>
      <c r="T13" s="96">
        <v>25</v>
      </c>
      <c r="U13" s="96">
        <v>25</v>
      </c>
      <c r="V13" s="96">
        <v>25</v>
      </c>
      <c r="W13" s="96">
        <v>25</v>
      </c>
    </row>
    <row r="14" spans="2:23" x14ac:dyDescent="0.3">
      <c r="B14" s="3"/>
      <c r="C14" s="98" t="s">
        <v>48</v>
      </c>
      <c r="D14" s="96">
        <v>15</v>
      </c>
      <c r="E14" s="96">
        <v>15</v>
      </c>
      <c r="F14" s="96">
        <v>15</v>
      </c>
      <c r="G14" s="96">
        <v>15</v>
      </c>
      <c r="H14" s="96">
        <v>15</v>
      </c>
      <c r="I14" s="96">
        <v>15</v>
      </c>
      <c r="J14" s="96">
        <v>15</v>
      </c>
      <c r="K14" s="96">
        <v>15</v>
      </c>
      <c r="L14" s="96">
        <v>15</v>
      </c>
      <c r="M14" s="96">
        <v>15</v>
      </c>
      <c r="N14" s="96">
        <v>15</v>
      </c>
      <c r="O14" s="96">
        <v>15</v>
      </c>
      <c r="P14" s="96">
        <v>15</v>
      </c>
      <c r="Q14" s="96">
        <v>15</v>
      </c>
      <c r="R14" s="96">
        <v>15</v>
      </c>
      <c r="S14" s="96">
        <v>15</v>
      </c>
      <c r="T14" s="96">
        <v>15</v>
      </c>
      <c r="U14" s="96">
        <v>15</v>
      </c>
      <c r="V14" s="96">
        <v>15</v>
      </c>
      <c r="W14" s="96">
        <v>15</v>
      </c>
    </row>
    <row r="15" spans="2:23" x14ac:dyDescent="0.3">
      <c r="B15" s="3"/>
      <c r="C15" s="98" t="s">
        <v>42</v>
      </c>
      <c r="D15" s="10">
        <v>0</v>
      </c>
      <c r="E15" s="10">
        <v>0</v>
      </c>
      <c r="F15" s="10">
        <v>0</v>
      </c>
      <c r="G15" s="10">
        <v>0</v>
      </c>
      <c r="H15" s="10">
        <v>0</v>
      </c>
      <c r="I15" s="10">
        <v>0</v>
      </c>
      <c r="J15" s="10">
        <v>0</v>
      </c>
      <c r="K15" s="10">
        <v>0</v>
      </c>
      <c r="L15" s="10">
        <v>0</v>
      </c>
      <c r="M15" s="10">
        <v>0</v>
      </c>
      <c r="N15" s="10">
        <v>0</v>
      </c>
      <c r="O15" s="10">
        <v>0</v>
      </c>
      <c r="P15" s="10">
        <v>0</v>
      </c>
      <c r="Q15" s="10">
        <v>0</v>
      </c>
      <c r="R15" s="10">
        <v>0</v>
      </c>
      <c r="S15" s="10">
        <v>0</v>
      </c>
      <c r="T15" s="10">
        <v>0</v>
      </c>
      <c r="U15" s="10">
        <v>0</v>
      </c>
      <c r="V15" s="10">
        <v>0</v>
      </c>
      <c r="W15" s="10">
        <v>0</v>
      </c>
    </row>
    <row r="16" spans="2:23" ht="28.8" x14ac:dyDescent="0.3">
      <c r="C16" s="99" t="s">
        <v>8</v>
      </c>
      <c r="D16" s="16">
        <v>0.04</v>
      </c>
      <c r="E16" s="16">
        <v>0.04</v>
      </c>
      <c r="F16" s="16">
        <v>0.04</v>
      </c>
      <c r="G16" s="16">
        <v>0.04</v>
      </c>
      <c r="H16" s="16">
        <v>0.04</v>
      </c>
      <c r="I16" s="16">
        <v>0.04</v>
      </c>
      <c r="J16" s="16">
        <v>0.04</v>
      </c>
      <c r="K16" s="16">
        <v>0.04</v>
      </c>
      <c r="L16" s="16">
        <v>0.04</v>
      </c>
      <c r="M16" s="16">
        <v>0.04</v>
      </c>
      <c r="N16" s="16">
        <v>0.04</v>
      </c>
      <c r="O16" s="16">
        <v>0.04</v>
      </c>
      <c r="P16" s="16">
        <v>0.04</v>
      </c>
      <c r="Q16" s="16">
        <v>0.04</v>
      </c>
      <c r="R16" s="16">
        <v>0.04</v>
      </c>
      <c r="S16" s="16">
        <v>0.04</v>
      </c>
      <c r="T16" s="16">
        <v>0.04</v>
      </c>
      <c r="U16" s="16">
        <v>0.04</v>
      </c>
      <c r="V16" s="16">
        <v>0.04</v>
      </c>
      <c r="W16" s="16">
        <v>0.04</v>
      </c>
    </row>
    <row r="17" spans="2:23" x14ac:dyDescent="0.3">
      <c r="C17" s="9" t="s">
        <v>35</v>
      </c>
      <c r="D17" s="42">
        <v>4.4999999999999998E-2</v>
      </c>
      <c r="E17" s="42">
        <v>4.4999999999999998E-2</v>
      </c>
      <c r="F17" s="42">
        <v>4.4999999999999998E-2</v>
      </c>
      <c r="G17" s="42">
        <v>4.4999999999999998E-2</v>
      </c>
      <c r="H17" s="42">
        <v>4.4999999999999998E-2</v>
      </c>
      <c r="I17" s="42">
        <v>4.4999999999999998E-2</v>
      </c>
      <c r="J17" s="42">
        <v>4.4999999999999998E-2</v>
      </c>
      <c r="K17" s="42">
        <v>4.4999999999999998E-2</v>
      </c>
      <c r="L17" s="42">
        <v>4.4999999999999998E-2</v>
      </c>
      <c r="M17" s="42">
        <v>4.4999999999999998E-2</v>
      </c>
      <c r="N17" s="42">
        <v>4.4999999999999998E-2</v>
      </c>
      <c r="O17" s="42">
        <v>4.4999999999999998E-2</v>
      </c>
      <c r="P17" s="42">
        <v>4.4999999999999998E-2</v>
      </c>
      <c r="Q17" s="42">
        <v>4.4999999999999998E-2</v>
      </c>
      <c r="R17" s="42">
        <v>4.4999999999999998E-2</v>
      </c>
      <c r="S17" s="42">
        <v>4.4999999999999998E-2</v>
      </c>
      <c r="T17" s="42">
        <v>4.4999999999999998E-2</v>
      </c>
      <c r="U17" s="42">
        <v>4.4999999999999998E-2</v>
      </c>
      <c r="V17" s="42">
        <v>4.4999999999999998E-2</v>
      </c>
      <c r="W17" s="42">
        <v>4.4999999999999998E-2</v>
      </c>
    </row>
    <row r="18" spans="2:23" ht="28.8" x14ac:dyDescent="0.3">
      <c r="C18" s="99" t="s">
        <v>8</v>
      </c>
      <c r="D18" s="16">
        <f>D16</f>
        <v>0.04</v>
      </c>
      <c r="E18" s="16">
        <f t="shared" ref="E18:W18" si="1">E16</f>
        <v>0.04</v>
      </c>
      <c r="F18" s="16">
        <f t="shared" si="1"/>
        <v>0.04</v>
      </c>
      <c r="G18" s="16">
        <f t="shared" si="1"/>
        <v>0.04</v>
      </c>
      <c r="H18" s="16">
        <f t="shared" si="1"/>
        <v>0.04</v>
      </c>
      <c r="I18" s="16">
        <f t="shared" si="1"/>
        <v>0.04</v>
      </c>
      <c r="J18" s="16">
        <f t="shared" si="1"/>
        <v>0.04</v>
      </c>
      <c r="K18" s="16">
        <f t="shared" si="1"/>
        <v>0.04</v>
      </c>
      <c r="L18" s="16">
        <f t="shared" si="1"/>
        <v>0.04</v>
      </c>
      <c r="M18" s="16">
        <f t="shared" si="1"/>
        <v>0.04</v>
      </c>
      <c r="N18" s="16">
        <f t="shared" si="1"/>
        <v>0.04</v>
      </c>
      <c r="O18" s="16">
        <f t="shared" si="1"/>
        <v>0.04</v>
      </c>
      <c r="P18" s="16">
        <f t="shared" si="1"/>
        <v>0.04</v>
      </c>
      <c r="Q18" s="16">
        <f t="shared" si="1"/>
        <v>0.04</v>
      </c>
      <c r="R18" s="16">
        <f t="shared" si="1"/>
        <v>0.04</v>
      </c>
      <c r="S18" s="16">
        <f t="shared" si="1"/>
        <v>0.04</v>
      </c>
      <c r="T18" s="16">
        <f t="shared" si="1"/>
        <v>0.04</v>
      </c>
      <c r="U18" s="16">
        <f t="shared" si="1"/>
        <v>0.04</v>
      </c>
      <c r="V18" s="16">
        <f t="shared" si="1"/>
        <v>0.04</v>
      </c>
      <c r="W18" s="16">
        <f t="shared" si="1"/>
        <v>0.04</v>
      </c>
    </row>
    <row r="19" spans="2:23" x14ac:dyDescent="0.3">
      <c r="C19" s="98" t="s">
        <v>43</v>
      </c>
      <c r="D19" s="10">
        <v>0.05</v>
      </c>
      <c r="E19" s="10">
        <v>0.05</v>
      </c>
      <c r="F19" s="10">
        <v>0.05</v>
      </c>
      <c r="G19" s="10">
        <v>0.05</v>
      </c>
      <c r="H19" s="10">
        <v>0.05</v>
      </c>
      <c r="I19" s="10">
        <v>0.05</v>
      </c>
      <c r="J19" s="10">
        <v>0.05</v>
      </c>
      <c r="K19" s="10">
        <v>0.05</v>
      </c>
      <c r="L19" s="10">
        <v>0.05</v>
      </c>
      <c r="M19" s="10">
        <v>0.05</v>
      </c>
      <c r="N19" s="10">
        <v>0.05</v>
      </c>
      <c r="O19" s="10">
        <v>0.05</v>
      </c>
      <c r="P19" s="10">
        <v>0.05</v>
      </c>
      <c r="Q19" s="10">
        <v>0.05</v>
      </c>
      <c r="R19" s="10">
        <v>0.05</v>
      </c>
      <c r="S19" s="10">
        <v>0.05</v>
      </c>
      <c r="T19" s="10">
        <v>0.05</v>
      </c>
      <c r="U19" s="10">
        <v>0.05</v>
      </c>
      <c r="V19" s="10">
        <v>0.05</v>
      </c>
      <c r="W19" s="10">
        <v>1</v>
      </c>
    </row>
    <row r="20" spans="2:23" x14ac:dyDescent="0.3">
      <c r="C20" s="9" t="s">
        <v>36</v>
      </c>
      <c r="D20" s="15">
        <v>4.0000000000000002E-4</v>
      </c>
      <c r="E20" s="15">
        <v>4.0000000000000002E-4</v>
      </c>
      <c r="F20" s="15">
        <v>5.0000000000000001E-4</v>
      </c>
      <c r="G20" s="15">
        <v>5.0000000000000001E-4</v>
      </c>
      <c r="H20" s="15">
        <v>6.0000000000000006E-4</v>
      </c>
      <c r="I20" s="15">
        <v>6.9999999999999999E-4</v>
      </c>
      <c r="J20" s="15">
        <v>6.9999999999999999E-4</v>
      </c>
      <c r="K20" s="15">
        <v>8.0000000000000004E-4</v>
      </c>
      <c r="L20" s="15">
        <v>8.9999999999999998E-4</v>
      </c>
      <c r="M20" s="15">
        <v>1E-3</v>
      </c>
      <c r="N20" s="15">
        <f>0.11%*(1+N21)</f>
        <v>1.1000000000000001E-3</v>
      </c>
      <c r="O20" s="15">
        <f>0.13%*(1+N21)</f>
        <v>1.2999999999999999E-3</v>
      </c>
      <c r="P20" s="15">
        <f>0.14%*(1+N21)</f>
        <v>1.4000000000000002E-3</v>
      </c>
      <c r="Q20" s="15">
        <f>0.15%*(1+N21)</f>
        <v>1.5E-3</v>
      </c>
      <c r="R20" s="15">
        <f>0.17%*(1+N21)</f>
        <v>1.7000000000000001E-3</v>
      </c>
      <c r="S20" s="15">
        <f>0.18%*(1+N21)</f>
        <v>1.8E-3</v>
      </c>
      <c r="T20" s="15">
        <f>0.19%*(1+N21)</f>
        <v>1.9E-3</v>
      </c>
      <c r="U20" s="15">
        <f>0.21%*(1+N21)</f>
        <v>2.0999999999999999E-3</v>
      </c>
      <c r="V20" s="15">
        <f>0.23%*(1+N21)</f>
        <v>2.3E-3</v>
      </c>
      <c r="W20" s="15">
        <f>0.23%*(1+N21)</f>
        <v>2.3E-3</v>
      </c>
    </row>
    <row r="21" spans="2:23" x14ac:dyDescent="0.3">
      <c r="C21" s="60"/>
      <c r="D21" s="15"/>
      <c r="E21" s="15"/>
      <c r="F21" s="15"/>
      <c r="G21" s="15"/>
      <c r="H21" s="15"/>
      <c r="I21" s="15"/>
      <c r="J21" s="15"/>
      <c r="K21" s="15"/>
      <c r="L21" s="15"/>
      <c r="M21" s="15"/>
      <c r="N21" s="43"/>
      <c r="O21" s="43"/>
      <c r="P21" s="43"/>
      <c r="Q21" s="43"/>
      <c r="R21" s="43"/>
      <c r="S21" s="43"/>
      <c r="T21" s="43"/>
      <c r="U21" s="43"/>
      <c r="V21" s="43"/>
      <c r="W21" s="43"/>
    </row>
    <row r="22" spans="2:23" x14ac:dyDescent="0.3">
      <c r="C22" s="8" t="s">
        <v>44</v>
      </c>
      <c r="D22" s="10">
        <v>0.1</v>
      </c>
      <c r="E22" s="10">
        <v>0.1</v>
      </c>
      <c r="F22" s="10">
        <v>0.1</v>
      </c>
      <c r="G22" s="10">
        <v>0.1</v>
      </c>
      <c r="H22" s="10">
        <v>0.1</v>
      </c>
      <c r="I22" s="10">
        <v>0.1</v>
      </c>
      <c r="J22" s="10">
        <v>0.1</v>
      </c>
      <c r="K22" s="10">
        <v>0.1</v>
      </c>
      <c r="L22" s="10">
        <v>0.1</v>
      </c>
      <c r="M22" s="10">
        <v>0.1</v>
      </c>
      <c r="N22" s="10">
        <v>0.1</v>
      </c>
      <c r="O22" s="10">
        <v>0.1</v>
      </c>
      <c r="P22" s="10">
        <v>0.1</v>
      </c>
      <c r="Q22" s="10">
        <v>0.1</v>
      </c>
      <c r="R22" s="10">
        <v>0.1</v>
      </c>
      <c r="S22" s="10">
        <v>0.1</v>
      </c>
      <c r="T22" s="10">
        <v>0.1</v>
      </c>
      <c r="U22" s="10">
        <v>0.1</v>
      </c>
      <c r="V22" s="10">
        <v>0.1</v>
      </c>
      <c r="W22" s="10">
        <v>0.1</v>
      </c>
    </row>
    <row r="24" spans="2:23" x14ac:dyDescent="0.3">
      <c r="C24" s="9" t="s">
        <v>94</v>
      </c>
    </row>
    <row r="25" spans="2:23" x14ac:dyDescent="0.3">
      <c r="C25" s="9"/>
    </row>
    <row r="26" spans="2:23" ht="43.2" x14ac:dyDescent="0.3">
      <c r="B26" s="3"/>
      <c r="C26" s="100" t="s">
        <v>49</v>
      </c>
      <c r="D26" s="3"/>
      <c r="E26" s="3"/>
      <c r="F26" s="3"/>
      <c r="G26" s="3"/>
      <c r="H26" s="3"/>
      <c r="I26" s="3"/>
      <c r="J26" s="3"/>
      <c r="K26" s="3"/>
      <c r="L26" s="3"/>
      <c r="M26" s="3"/>
      <c r="N26" s="3"/>
      <c r="O26" s="3"/>
      <c r="P26" s="3"/>
      <c r="Q26" s="3"/>
      <c r="R26" s="3"/>
      <c r="S26" s="3"/>
      <c r="T26" s="3"/>
      <c r="U26" s="3"/>
      <c r="V26" s="3"/>
      <c r="W26" s="3"/>
    </row>
    <row r="27" spans="2:23" x14ac:dyDescent="0.3">
      <c r="B27" s="3"/>
      <c r="C27" s="28" t="s">
        <v>50</v>
      </c>
      <c r="D27" s="3"/>
      <c r="E27" s="3"/>
      <c r="F27" s="3"/>
      <c r="G27" s="3"/>
      <c r="H27" s="3"/>
      <c r="I27" s="3"/>
      <c r="J27" s="3"/>
      <c r="K27" s="3"/>
      <c r="L27" s="3"/>
      <c r="M27" s="3"/>
      <c r="N27" s="3"/>
      <c r="O27" s="3"/>
      <c r="P27" s="3"/>
      <c r="Q27" s="3"/>
      <c r="R27" s="3"/>
      <c r="S27" s="3"/>
      <c r="T27" s="3"/>
      <c r="U27" s="3"/>
      <c r="V27" s="3"/>
      <c r="W27" s="3"/>
    </row>
    <row r="28" spans="2:23" ht="43.2" x14ac:dyDescent="0.3">
      <c r="B28" s="3"/>
      <c r="C28" s="100" t="s">
        <v>93</v>
      </c>
      <c r="D28" s="3"/>
      <c r="E28" s="3"/>
      <c r="F28" s="3"/>
      <c r="G28" s="3"/>
      <c r="H28" s="3"/>
      <c r="I28" s="3"/>
      <c r="J28" s="3"/>
      <c r="K28" s="3"/>
      <c r="L28" s="3"/>
      <c r="M28" s="3"/>
      <c r="N28" s="3"/>
      <c r="O28" s="3"/>
      <c r="P28" s="3"/>
      <c r="Q28" s="3"/>
      <c r="R28" s="3"/>
      <c r="S28" s="3"/>
      <c r="T28" s="3"/>
      <c r="U28" s="3"/>
      <c r="V28" s="3"/>
      <c r="W28" s="3"/>
    </row>
    <row r="30" spans="2:23" x14ac:dyDescent="0.3">
      <c r="C30" s="2" t="s">
        <v>51</v>
      </c>
      <c r="D30" s="96">
        <v>25</v>
      </c>
      <c r="E30" s="96">
        <v>25</v>
      </c>
      <c r="F30" s="101">
        <v>35</v>
      </c>
      <c r="G30" s="101">
        <v>35</v>
      </c>
      <c r="H30" s="101">
        <v>35</v>
      </c>
      <c r="I30" s="101">
        <v>35</v>
      </c>
      <c r="J30" s="101">
        <v>35</v>
      </c>
      <c r="K30" s="101">
        <v>35</v>
      </c>
      <c r="L30" s="101">
        <v>35</v>
      </c>
      <c r="M30" s="101">
        <v>35</v>
      </c>
      <c r="N30" s="101">
        <v>35</v>
      </c>
      <c r="O30" s="101">
        <v>35</v>
      </c>
      <c r="P30" s="101">
        <v>35</v>
      </c>
      <c r="Q30" s="101">
        <v>35</v>
      </c>
      <c r="R30" s="101">
        <v>35</v>
      </c>
      <c r="S30" s="101">
        <v>35</v>
      </c>
      <c r="T30" s="101">
        <v>35</v>
      </c>
      <c r="U30" s="101">
        <v>35</v>
      </c>
      <c r="V30" s="101">
        <v>35</v>
      </c>
      <c r="W30" s="101">
        <v>35</v>
      </c>
    </row>
    <row r="31" spans="2:23" x14ac:dyDescent="0.3">
      <c r="C31" s="2" t="s">
        <v>52</v>
      </c>
      <c r="D31" s="10">
        <v>0.05</v>
      </c>
      <c r="E31" s="10">
        <v>0.05</v>
      </c>
      <c r="F31" s="10">
        <v>0.05</v>
      </c>
      <c r="G31" s="10">
        <v>0.05</v>
      </c>
      <c r="H31" s="10">
        <v>0.05</v>
      </c>
      <c r="I31" s="10">
        <v>0.05</v>
      </c>
      <c r="J31" s="10">
        <v>0.05</v>
      </c>
      <c r="K31" s="10">
        <v>0.05</v>
      </c>
      <c r="L31" s="30">
        <v>0.1</v>
      </c>
      <c r="M31" s="10">
        <v>0.05</v>
      </c>
      <c r="N31" s="10">
        <v>0.05</v>
      </c>
      <c r="O31" s="10">
        <v>0.05</v>
      </c>
      <c r="P31" s="10">
        <v>0.05</v>
      </c>
      <c r="Q31" s="10">
        <v>0.05</v>
      </c>
      <c r="R31" s="10">
        <v>0.05</v>
      </c>
      <c r="S31" s="10">
        <v>0.05</v>
      </c>
      <c r="T31" s="10">
        <v>0.05</v>
      </c>
      <c r="U31" s="10">
        <v>0.05</v>
      </c>
      <c r="V31" s="10">
        <v>0.05</v>
      </c>
      <c r="W31" s="10">
        <v>1</v>
      </c>
    </row>
    <row r="35" spans="2:3" x14ac:dyDescent="0.3">
      <c r="B35" s="4"/>
    </row>
    <row r="36" spans="2:3" x14ac:dyDescent="0.3">
      <c r="B36" s="4"/>
    </row>
    <row r="45" spans="2:3" x14ac:dyDescent="0.3">
      <c r="B45" s="5"/>
      <c r="C45" s="6"/>
    </row>
    <row r="46" spans="2:3" x14ac:dyDescent="0.3">
      <c r="B46" s="10"/>
      <c r="C46" s="6"/>
    </row>
    <row r="47" spans="2:3" x14ac:dyDescent="0.3">
      <c r="C47" s="6"/>
    </row>
    <row r="48" spans="2:3" x14ac:dyDescent="0.3">
      <c r="C48" s="6"/>
    </row>
    <row r="49" spans="2:23" x14ac:dyDescent="0.3">
      <c r="C49" s="6"/>
    </row>
    <row r="50" spans="2:23" x14ac:dyDescent="0.3">
      <c r="C50" s="6"/>
    </row>
    <row r="51" spans="2:23" x14ac:dyDescent="0.3">
      <c r="C51" s="6"/>
      <c r="D51" s="11"/>
    </row>
    <row r="52" spans="2:23" x14ac:dyDescent="0.3">
      <c r="C52" s="7"/>
      <c r="D52" s="12"/>
    </row>
    <row r="53" spans="2:23" x14ac:dyDescent="0.3">
      <c r="D53" s="8"/>
      <c r="E53" s="8"/>
      <c r="F53" s="8"/>
      <c r="G53" s="8"/>
      <c r="H53" s="8"/>
      <c r="I53" s="8"/>
      <c r="J53" s="8"/>
      <c r="K53" s="8"/>
      <c r="L53" s="8"/>
      <c r="M53" s="8"/>
      <c r="N53" s="8"/>
      <c r="O53" s="8"/>
      <c r="P53" s="8"/>
      <c r="Q53" s="8"/>
      <c r="R53" s="8"/>
      <c r="S53" s="8"/>
      <c r="T53" s="8"/>
      <c r="U53" s="8"/>
      <c r="V53" s="8"/>
      <c r="W53" s="8"/>
    </row>
    <row r="63" spans="2:23" x14ac:dyDescent="0.3">
      <c r="B63" s="3"/>
      <c r="C63" s="3"/>
      <c r="D63" s="3"/>
      <c r="E63" s="3"/>
      <c r="F63" s="3"/>
      <c r="G63" s="3"/>
      <c r="H63" s="3"/>
      <c r="I63" s="3"/>
      <c r="J63" s="3"/>
      <c r="K63" s="3"/>
      <c r="L63" s="3"/>
      <c r="M63" s="3"/>
      <c r="N63" s="3"/>
      <c r="O63" s="3"/>
      <c r="P63" s="3"/>
      <c r="Q63" s="3"/>
      <c r="R63" s="3"/>
      <c r="S63" s="3"/>
      <c r="T63" s="3"/>
      <c r="U63" s="3"/>
      <c r="V63" s="3"/>
      <c r="W63" s="3"/>
    </row>
    <row r="70" spans="2:23" x14ac:dyDescent="0.3">
      <c r="B70" s="3"/>
      <c r="C70" s="3"/>
      <c r="D70" s="3"/>
      <c r="E70" s="3"/>
      <c r="F70" s="3"/>
      <c r="G70" s="3"/>
      <c r="H70" s="3"/>
      <c r="I70" s="3"/>
      <c r="J70" s="3"/>
      <c r="K70" s="3"/>
      <c r="L70" s="3"/>
      <c r="M70" s="3"/>
      <c r="N70" s="3"/>
      <c r="O70" s="3"/>
      <c r="P70" s="3"/>
      <c r="Q70" s="3"/>
      <c r="R70" s="3"/>
      <c r="S70" s="3"/>
      <c r="T70" s="3"/>
      <c r="U70" s="3"/>
      <c r="V70" s="3"/>
      <c r="W70" s="3"/>
    </row>
  </sheetData>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65"/>
  <sheetViews>
    <sheetView zoomScale="115" zoomScaleNormal="115" workbookViewId="0">
      <pane xSplit="5" ySplit="5" topLeftCell="F87" activePane="bottomRight" state="frozen"/>
      <selection pane="topRight" activeCell="F1" sqref="F1"/>
      <selection pane="bottomLeft" activeCell="A6" sqref="A6"/>
      <selection pane="bottomRight" activeCell="F123" sqref="F123"/>
    </sheetView>
  </sheetViews>
  <sheetFormatPr defaultColWidth="9.109375" defaultRowHeight="13.8" x14ac:dyDescent="0.25"/>
  <cols>
    <col min="1" max="1" width="4.109375" style="62" customWidth="1"/>
    <col min="2" max="2" width="4.5546875" style="62" customWidth="1"/>
    <col min="3" max="3" width="47.5546875" style="62" customWidth="1"/>
    <col min="4" max="4" width="1.33203125" style="62" customWidth="1"/>
    <col min="5" max="5" width="13" style="62" customWidth="1"/>
    <col min="6" max="6" width="14.44140625" style="62" customWidth="1"/>
    <col min="7" max="7" width="11.6640625" style="62" customWidth="1"/>
    <col min="8" max="8" width="13.33203125" style="62" customWidth="1"/>
    <col min="9" max="9" width="11.6640625" style="62" customWidth="1"/>
    <col min="10" max="10" width="12.88671875" style="62" customWidth="1"/>
    <col min="11" max="15" width="10.44140625" style="62" bestFit="1" customWidth="1"/>
    <col min="16" max="23" width="9.33203125" style="62" bestFit="1" customWidth="1"/>
    <col min="24" max="24" width="9.6640625" style="62" bestFit="1" customWidth="1"/>
    <col min="25" max="25" width="9.33203125" style="62" bestFit="1" customWidth="1"/>
    <col min="26" max="27" width="9.109375" style="62"/>
    <col min="28" max="28" width="12.109375" style="62" customWidth="1"/>
    <col min="29" max="30" width="9.33203125" style="62" bestFit="1" customWidth="1"/>
    <col min="31" max="16384" width="9.109375" style="62"/>
  </cols>
  <sheetData>
    <row r="2" spans="2:28" ht="15.6" x14ac:dyDescent="0.3">
      <c r="B2" s="61"/>
    </row>
    <row r="3" spans="2:28" x14ac:dyDescent="0.25">
      <c r="B3" s="63"/>
    </row>
    <row r="5" spans="2:28" ht="13.2" customHeight="1" x14ac:dyDescent="0.25">
      <c r="E5" s="62">
        <v>0</v>
      </c>
      <c r="F5" s="64">
        <v>1</v>
      </c>
      <c r="G5" s="64">
        <f>F5+1</f>
        <v>2</v>
      </c>
      <c r="H5" s="64">
        <f t="shared" ref="H5:Y5" si="0">G5+1</f>
        <v>3</v>
      </c>
      <c r="I5" s="64">
        <f t="shared" si="0"/>
        <v>4</v>
      </c>
      <c r="J5" s="64">
        <f t="shared" si="0"/>
        <v>5</v>
      </c>
      <c r="K5" s="64">
        <f t="shared" si="0"/>
        <v>6</v>
      </c>
      <c r="L5" s="64">
        <f t="shared" si="0"/>
        <v>7</v>
      </c>
      <c r="M5" s="64">
        <f t="shared" si="0"/>
        <v>8</v>
      </c>
      <c r="N5" s="64">
        <f t="shared" si="0"/>
        <v>9</v>
      </c>
      <c r="O5" s="64">
        <f t="shared" si="0"/>
        <v>10</v>
      </c>
      <c r="P5" s="64">
        <f t="shared" si="0"/>
        <v>11</v>
      </c>
      <c r="Q5" s="64">
        <f t="shared" si="0"/>
        <v>12</v>
      </c>
      <c r="R5" s="64">
        <f t="shared" si="0"/>
        <v>13</v>
      </c>
      <c r="S5" s="64">
        <f t="shared" si="0"/>
        <v>14</v>
      </c>
      <c r="T5" s="64">
        <f t="shared" si="0"/>
        <v>15</v>
      </c>
      <c r="U5" s="64">
        <f t="shared" si="0"/>
        <v>16</v>
      </c>
      <c r="V5" s="64">
        <f t="shared" si="0"/>
        <v>17</v>
      </c>
      <c r="W5" s="64">
        <f t="shared" si="0"/>
        <v>18</v>
      </c>
      <c r="X5" s="64">
        <f t="shared" si="0"/>
        <v>19</v>
      </c>
      <c r="Y5" s="64">
        <f t="shared" si="0"/>
        <v>20</v>
      </c>
    </row>
    <row r="6" spans="2:28" x14ac:dyDescent="0.25">
      <c r="F6" s="64"/>
      <c r="G6" s="64"/>
      <c r="H6" s="64"/>
      <c r="I6" s="64"/>
      <c r="J6" s="64"/>
      <c r="K6" s="64"/>
      <c r="L6" s="64"/>
      <c r="M6" s="64"/>
      <c r="N6" s="64"/>
      <c r="O6" s="64"/>
      <c r="P6" s="64"/>
      <c r="Q6" s="64"/>
      <c r="R6" s="64"/>
      <c r="S6" s="64"/>
      <c r="T6" s="64"/>
      <c r="U6" s="64"/>
      <c r="V6" s="64"/>
      <c r="W6" s="64"/>
      <c r="X6" s="64"/>
      <c r="Y6" s="64"/>
    </row>
    <row r="7" spans="2:28" ht="27.6" x14ac:dyDescent="0.25">
      <c r="C7" s="65" t="s">
        <v>10</v>
      </c>
      <c r="F7" s="64"/>
      <c r="G7" s="64"/>
      <c r="H7" s="64"/>
      <c r="I7" s="64"/>
      <c r="J7" s="64"/>
      <c r="K7" s="64"/>
      <c r="L7" s="64"/>
      <c r="M7" s="64"/>
      <c r="N7" s="64"/>
      <c r="O7" s="64"/>
      <c r="P7" s="64"/>
      <c r="Q7" s="64"/>
      <c r="R7" s="64"/>
      <c r="S7" s="64"/>
      <c r="T7" s="64"/>
      <c r="U7" s="64"/>
      <c r="V7" s="64"/>
      <c r="W7" s="64"/>
      <c r="X7" s="64"/>
      <c r="Y7" s="64"/>
      <c r="AB7" s="74" t="s">
        <v>2</v>
      </c>
    </row>
    <row r="8" spans="2:28" x14ac:dyDescent="0.25">
      <c r="B8" s="62" t="s">
        <v>0</v>
      </c>
      <c r="C8" s="102" t="s">
        <v>53</v>
      </c>
      <c r="D8" s="66"/>
      <c r="E8" s="66"/>
      <c r="F8" s="66">
        <f>F36*(Assumptions!D8*Assumptions!$D$6/1000+Assumptions!D9)</f>
        <v>310000</v>
      </c>
      <c r="G8" s="66">
        <f>G36*(Assumptions!E8*Assumptions!$D$6/1000+Assumptions!E9)</f>
        <v>294376</v>
      </c>
      <c r="H8" s="66">
        <f>H36*(Assumptions!F8*Assumptions!$D$6/1000+Assumptions!F9)</f>
        <v>279539.44959999999</v>
      </c>
      <c r="I8" s="66">
        <f>I36*(Assumptions!G8*Assumptions!$D$6/1000+Assumptions!G9)</f>
        <v>265422.70739520004</v>
      </c>
      <c r="J8" s="66">
        <f>J36*(Assumptions!H8*Assumptions!$D$6/1000+Assumptions!H9)</f>
        <v>252018.86067174241</v>
      </c>
      <c r="K8" s="66">
        <f>K36*(Assumptions!I8*Assumptions!$D$6/1000+Assumptions!I9)</f>
        <v>239266.70632175228</v>
      </c>
      <c r="L8" s="66">
        <f>L36*(Assumptions!J8*Assumptions!$D$6/1000+Assumptions!J9)</f>
        <v>227135.88431123944</v>
      </c>
      <c r="M8" s="66">
        <f>M36*(Assumptions!K8*Assumptions!$D$6/1000+Assumptions!K9)</f>
        <v>215620.0949766596</v>
      </c>
      <c r="N8" s="66">
        <f>N36*(Assumptions!L8*Assumptions!$D$6/1000+Assumptions!L9)</f>
        <v>204666.59415184529</v>
      </c>
      <c r="O8" s="66">
        <f>O36*(Assumptions!M8*Assumptions!$D$6/1000+Assumptions!M9)</f>
        <v>194249.06450951635</v>
      </c>
      <c r="P8" s="66">
        <f>P36*(Assumptions!N8*Assumptions!$D$6/1000+Assumptions!N9)</f>
        <v>184342.362219531</v>
      </c>
      <c r="Q8" s="66">
        <f>Q36*(Assumptions!O8*Assumptions!$D$6/1000+Assumptions!O9)</f>
        <v>174922.467510113</v>
      </c>
      <c r="R8" s="66">
        <f>R36*(Assumptions!P8*Assumptions!$D$6/1000+Assumptions!P9)</f>
        <v>165948.94492684421</v>
      </c>
      <c r="S8" s="66">
        <f>S36*(Assumptions!Q8*Assumptions!$D$6/1000+Assumptions!Q9)</f>
        <v>157419.16915760442</v>
      </c>
      <c r="T8" s="66">
        <f>T36*(Assumptions!R8*Assumptions!$D$6/1000+Assumptions!R9)</f>
        <v>149312.0819459878</v>
      </c>
      <c r="U8" s="66">
        <f>U36*(Assumptions!S8*Assumptions!$D$6/1000+Assumptions!S9)</f>
        <v>141592.64730938023</v>
      </c>
      <c r="V8" s="66">
        <f>V36*(Assumptions!T8*Assumptions!$D$6/1000+Assumptions!T9)</f>
        <v>134258.14817875435</v>
      </c>
      <c r="W8" s="66">
        <f>W36*(Assumptions!U8*Assumptions!$D$6/1000+Assumptions!U9)</f>
        <v>127290.150288277</v>
      </c>
      <c r="X8" s="66">
        <f>X36*(Assumptions!V8*Assumptions!$D$6/1000+Assumptions!V9)</f>
        <v>120658.33345825778</v>
      </c>
      <c r="Y8" s="67">
        <f>Y36*(Assumptions!W8*Assumptions!$D$6/1000+Assumptions!W9)</f>
        <v>114347.90261839089</v>
      </c>
      <c r="Z8" s="68"/>
      <c r="AB8" s="62">
        <f>NPV(Assumptions!$D$16,G8:Z8)+F8</f>
        <v>2981000.6625720072</v>
      </c>
    </row>
    <row r="9" spans="2:28" ht="17.399999999999999" customHeight="1" x14ac:dyDescent="0.25">
      <c r="B9" s="62" t="s">
        <v>0</v>
      </c>
      <c r="C9" s="103" t="s">
        <v>13</v>
      </c>
      <c r="D9" s="68"/>
      <c r="E9" s="68"/>
      <c r="F9" s="68">
        <f>-F8*Assumptions!D10</f>
        <v>-248000</v>
      </c>
      <c r="G9" s="68">
        <v>0</v>
      </c>
      <c r="H9" s="68">
        <v>0</v>
      </c>
      <c r="I9" s="68">
        <v>0</v>
      </c>
      <c r="J9" s="68">
        <v>0</v>
      </c>
      <c r="K9" s="68">
        <v>0</v>
      </c>
      <c r="L9" s="68">
        <v>0</v>
      </c>
      <c r="M9" s="68">
        <v>0</v>
      </c>
      <c r="N9" s="68">
        <v>0</v>
      </c>
      <c r="O9" s="68">
        <v>0</v>
      </c>
      <c r="P9" s="68">
        <v>0</v>
      </c>
      <c r="Q9" s="68">
        <v>0</v>
      </c>
      <c r="R9" s="68">
        <v>0</v>
      </c>
      <c r="S9" s="68">
        <v>0</v>
      </c>
      <c r="T9" s="68">
        <v>0</v>
      </c>
      <c r="U9" s="68">
        <v>0</v>
      </c>
      <c r="V9" s="68">
        <v>0</v>
      </c>
      <c r="W9" s="68">
        <v>0</v>
      </c>
      <c r="X9" s="68">
        <v>0</v>
      </c>
      <c r="Y9" s="69">
        <v>0</v>
      </c>
      <c r="Z9" s="68"/>
      <c r="AB9" s="62">
        <f>NPV(Assumptions!$D$16,G9:Z9)+F9</f>
        <v>-248000</v>
      </c>
    </row>
    <row r="10" spans="2:28" x14ac:dyDescent="0.25">
      <c r="B10" s="62" t="s">
        <v>0</v>
      </c>
      <c r="C10" s="104" t="s">
        <v>54</v>
      </c>
      <c r="D10" s="68"/>
      <c r="E10" s="68"/>
      <c r="F10" s="68">
        <v>0</v>
      </c>
      <c r="G10" s="68">
        <f>-G8*Assumptions!E10</f>
        <v>-14718.800000000001</v>
      </c>
      <c r="H10" s="68">
        <f>-H8*Assumptions!F10</f>
        <v>-13976.97248</v>
      </c>
      <c r="I10" s="68">
        <f>-I8*Assumptions!G10</f>
        <v>-13271.135369760003</v>
      </c>
      <c r="J10" s="68">
        <f>-J8*Assumptions!H10</f>
        <v>-12600.943033587122</v>
      </c>
      <c r="K10" s="68">
        <f>-K8*Assumptions!I10</f>
        <v>-11963.335316087614</v>
      </c>
      <c r="L10" s="68">
        <f>-L8*Assumptions!J10</f>
        <v>-11356.794215561973</v>
      </c>
      <c r="M10" s="68">
        <f>-M8*Assumptions!K10</f>
        <v>-10781.00474883298</v>
      </c>
      <c r="N10" s="68">
        <f>-N8*Assumptions!L10</f>
        <v>-10233.329707592266</v>
      </c>
      <c r="O10" s="68">
        <f>-O8*Assumptions!M10</f>
        <v>-9712.4532254758178</v>
      </c>
      <c r="P10" s="68">
        <f>-P8*Assumptions!N10</f>
        <v>-9217.1181109765512</v>
      </c>
      <c r="Q10" s="68">
        <f>-Q8*Assumptions!O10</f>
        <v>-8746.123375505651</v>
      </c>
      <c r="R10" s="68">
        <f>-R8*Assumptions!P10</f>
        <v>-8297.4472463422117</v>
      </c>
      <c r="S10" s="68">
        <f>-S8*Assumptions!Q10</f>
        <v>-7870.9584578802214</v>
      </c>
      <c r="T10" s="68">
        <f>-T8*Assumptions!R10</f>
        <v>-7465.6040972993906</v>
      </c>
      <c r="U10" s="68">
        <f>-U8*Assumptions!S10</f>
        <v>-7079.6323654690123</v>
      </c>
      <c r="V10" s="68">
        <f>-V8*Assumptions!T10</f>
        <v>-6712.9074089377173</v>
      </c>
      <c r="W10" s="68">
        <f>-W8*Assumptions!U10</f>
        <v>-6364.50751441385</v>
      </c>
      <c r="X10" s="68">
        <f>-X8*Assumptions!V10</f>
        <v>-6032.9166729128892</v>
      </c>
      <c r="Y10" s="69">
        <f>-Y8*Assumptions!W10</f>
        <v>-5717.3951309195445</v>
      </c>
      <c r="Z10" s="68"/>
      <c r="AB10" s="62">
        <f>NPV(Assumptions!$D$16,G10:Z10)+F10</f>
        <v>-133550.03312860033</v>
      </c>
    </row>
    <row r="11" spans="2:28" x14ac:dyDescent="0.25">
      <c r="B11" s="62" t="s">
        <v>0</v>
      </c>
      <c r="C11" s="104" t="s">
        <v>45</v>
      </c>
      <c r="D11" s="68"/>
      <c r="E11" s="68"/>
      <c r="F11" s="68">
        <f>-F36*Assumptions!D11</f>
        <v>-40000</v>
      </c>
      <c r="G11" s="68">
        <v>0</v>
      </c>
      <c r="H11" s="68">
        <v>0</v>
      </c>
      <c r="I11" s="68">
        <v>0</v>
      </c>
      <c r="J11" s="68">
        <v>0</v>
      </c>
      <c r="K11" s="68">
        <v>0</v>
      </c>
      <c r="L11" s="68">
        <v>0</v>
      </c>
      <c r="M11" s="68">
        <v>0</v>
      </c>
      <c r="N11" s="68">
        <v>0</v>
      </c>
      <c r="O11" s="68">
        <v>0</v>
      </c>
      <c r="P11" s="68">
        <v>0</v>
      </c>
      <c r="Q11" s="68">
        <v>0</v>
      </c>
      <c r="R11" s="68">
        <v>0</v>
      </c>
      <c r="S11" s="68">
        <v>0</v>
      </c>
      <c r="T11" s="68">
        <v>0</v>
      </c>
      <c r="U11" s="68">
        <v>0</v>
      </c>
      <c r="V11" s="68">
        <v>0</v>
      </c>
      <c r="W11" s="68">
        <v>0</v>
      </c>
      <c r="X11" s="68">
        <v>0</v>
      </c>
      <c r="Y11" s="69">
        <v>0</v>
      </c>
      <c r="Z11" s="68"/>
      <c r="AB11" s="62">
        <f>NPV(Assumptions!$D$16,G11:Z11)+F11</f>
        <v>-40000</v>
      </c>
    </row>
    <row r="12" spans="2:28" x14ac:dyDescent="0.25">
      <c r="B12" s="62" t="s">
        <v>1</v>
      </c>
      <c r="C12" s="104" t="s">
        <v>47</v>
      </c>
      <c r="D12" s="68"/>
      <c r="E12" s="68"/>
      <c r="F12" s="68">
        <f>-F36*Assumptions!D13</f>
        <v>-25000</v>
      </c>
      <c r="G12" s="68">
        <f>-G36*Assumptions!E13</f>
        <v>-23740</v>
      </c>
      <c r="H12" s="68">
        <f>-H36*Assumptions!F13</f>
        <v>-22543.504000000001</v>
      </c>
      <c r="I12" s="68">
        <f>-I36*Assumptions!G13</f>
        <v>-21405.057048000002</v>
      </c>
      <c r="J12" s="68">
        <f>-J36*Assumptions!H13</f>
        <v>-20324.101667076</v>
      </c>
      <c r="K12" s="68">
        <f>-K36*Assumptions!I13</f>
        <v>-19295.702122721956</v>
      </c>
      <c r="L12" s="68">
        <f>-L36*Assumptions!J13</f>
        <v>-18317.410025099955</v>
      </c>
      <c r="M12" s="68">
        <f>-M36*Assumptions!K13</f>
        <v>-17388.717336827387</v>
      </c>
      <c r="N12" s="68">
        <f>-N36*Assumptions!L13</f>
        <v>-16505.370496116557</v>
      </c>
      <c r="O12" s="68">
        <f>-O36*Assumptions!M13</f>
        <v>-15665.247137864222</v>
      </c>
      <c r="P12" s="68">
        <f>-P36*Assumptions!N13</f>
        <v>-14866.319533833146</v>
      </c>
      <c r="Q12" s="68">
        <f>-Q36*Assumptions!O13</f>
        <v>-14106.650605654275</v>
      </c>
      <c r="R12" s="68">
        <f>-R36*Assumptions!P13</f>
        <v>-13382.979429584211</v>
      </c>
      <c r="S12" s="68">
        <f>-S36*Assumptions!Q13</f>
        <v>-12695.094286903583</v>
      </c>
      <c r="T12" s="68">
        <f>-T36*Assumptions!R13</f>
        <v>-12041.296931128049</v>
      </c>
      <c r="U12" s="68">
        <f>-U36*Assumptions!S13</f>
        <v>-11418.761879788728</v>
      </c>
      <c r="V12" s="68">
        <f>-V36*Assumptions!T13</f>
        <v>-10827.270014415673</v>
      </c>
      <c r="W12" s="68">
        <f>-W36*Assumptions!U13</f>
        <v>-10265.334700667501</v>
      </c>
      <c r="X12" s="68">
        <f>-X36*Assumptions!V13</f>
        <v>-9730.510762762724</v>
      </c>
      <c r="Y12" s="69">
        <f>-Y36*Assumptions!W13</f>
        <v>-9221.6050498702334</v>
      </c>
      <c r="Z12" s="68"/>
      <c r="AB12" s="62">
        <f>NPV(Assumptions!$D$16,F12:Z12)</f>
        <v>-231156.99926892118</v>
      </c>
    </row>
    <row r="13" spans="2:28" x14ac:dyDescent="0.25">
      <c r="B13" s="62" t="s">
        <v>0</v>
      </c>
      <c r="C13" s="104" t="s">
        <v>46</v>
      </c>
      <c r="D13" s="68"/>
      <c r="E13" s="68"/>
      <c r="F13" s="68">
        <f>-F36*Assumptions!D12</f>
        <v>-60000</v>
      </c>
      <c r="G13" s="68">
        <v>0</v>
      </c>
      <c r="H13" s="68">
        <v>0</v>
      </c>
      <c r="I13" s="68">
        <v>0</v>
      </c>
      <c r="J13" s="68">
        <v>0</v>
      </c>
      <c r="K13" s="68">
        <v>0</v>
      </c>
      <c r="L13" s="68">
        <v>0</v>
      </c>
      <c r="M13" s="68">
        <v>0</v>
      </c>
      <c r="N13" s="68">
        <v>0</v>
      </c>
      <c r="O13" s="68">
        <v>0</v>
      </c>
      <c r="P13" s="68">
        <v>0</v>
      </c>
      <c r="Q13" s="68">
        <v>0</v>
      </c>
      <c r="R13" s="68">
        <v>0</v>
      </c>
      <c r="S13" s="68">
        <v>0</v>
      </c>
      <c r="T13" s="68">
        <v>0</v>
      </c>
      <c r="U13" s="68">
        <v>0</v>
      </c>
      <c r="V13" s="68">
        <v>0</v>
      </c>
      <c r="W13" s="68">
        <v>0</v>
      </c>
      <c r="X13" s="68">
        <v>0</v>
      </c>
      <c r="Y13" s="69">
        <v>0</v>
      </c>
      <c r="Z13" s="68"/>
      <c r="AB13" s="62">
        <f>NPV(Assumptions!$D$16,G13:Z13)+F13</f>
        <v>-60000</v>
      </c>
    </row>
    <row r="14" spans="2:28" x14ac:dyDescent="0.25">
      <c r="B14" s="62" t="s">
        <v>1</v>
      </c>
      <c r="C14" s="104" t="s">
        <v>48</v>
      </c>
      <c r="D14" s="68"/>
      <c r="E14" s="68"/>
      <c r="F14" s="68">
        <f>-F36*Assumptions!D14</f>
        <v>-15000</v>
      </c>
      <c r="G14" s="68">
        <f>-G36*Assumptions!E14</f>
        <v>-14244</v>
      </c>
      <c r="H14" s="68">
        <f>-H36*Assumptions!F14</f>
        <v>-13526.102400000002</v>
      </c>
      <c r="I14" s="68">
        <f>-I36*Assumptions!G14</f>
        <v>-12843.034228800003</v>
      </c>
      <c r="J14" s="68">
        <f>-J36*Assumptions!H14</f>
        <v>-12194.461000245601</v>
      </c>
      <c r="K14" s="68">
        <f>-K36*Assumptions!I14</f>
        <v>-11577.421273633174</v>
      </c>
      <c r="L14" s="68">
        <f>-L36*Assumptions!J14</f>
        <v>-10990.446015059973</v>
      </c>
      <c r="M14" s="68">
        <f>-M36*Assumptions!K14</f>
        <v>-10433.230402096431</v>
      </c>
      <c r="N14" s="68">
        <f>-N36*Assumptions!L14</f>
        <v>-9903.2222976699322</v>
      </c>
      <c r="O14" s="68">
        <f>-O36*Assumptions!M14</f>
        <v>-9399.1482827185337</v>
      </c>
      <c r="P14" s="68">
        <f>-P36*Assumptions!N14</f>
        <v>-8919.7917202998869</v>
      </c>
      <c r="Q14" s="68">
        <f>-Q36*Assumptions!O14</f>
        <v>-8463.9903633925642</v>
      </c>
      <c r="R14" s="68">
        <f>-R36*Assumptions!P14</f>
        <v>-8029.7876577505267</v>
      </c>
      <c r="S14" s="68">
        <f>-S36*Assumptions!Q14</f>
        <v>-7617.0565721421499</v>
      </c>
      <c r="T14" s="68">
        <f>-T36*Assumptions!R14</f>
        <v>-7224.7781586768288</v>
      </c>
      <c r="U14" s="68">
        <f>-U36*Assumptions!S14</f>
        <v>-6851.2571278732366</v>
      </c>
      <c r="V14" s="68">
        <f>-V36*Assumptions!T14</f>
        <v>-6496.3620086494038</v>
      </c>
      <c r="W14" s="68">
        <f>-W36*Assumptions!U14</f>
        <v>-6159.2008204005006</v>
      </c>
      <c r="X14" s="68">
        <f>-X36*Assumptions!V14</f>
        <v>-5838.3064576576344</v>
      </c>
      <c r="Y14" s="69">
        <f>-Y36*Assumptions!W14</f>
        <v>-5532.9630299221399</v>
      </c>
      <c r="Z14" s="68"/>
      <c r="AB14" s="62">
        <f>NPV(Assumptions!$D$16,F14:Z14)</f>
        <v>-138694.19956135267</v>
      </c>
    </row>
    <row r="15" spans="2:28" x14ac:dyDescent="0.25">
      <c r="B15" s="62" t="s">
        <v>1</v>
      </c>
      <c r="C15" s="105" t="s">
        <v>9</v>
      </c>
      <c r="D15" s="68"/>
      <c r="E15" s="68"/>
      <c r="F15" s="68">
        <f>-F37*Assumptions!$D$6</f>
        <v>-80000</v>
      </c>
      <c r="G15" s="68">
        <f>-G37*Assumptions!$D$6</f>
        <v>-75968</v>
      </c>
      <c r="H15" s="68">
        <f>-H37*Assumptions!$D$6</f>
        <v>-90174.016000000018</v>
      </c>
      <c r="I15" s="68">
        <f>-I37*Assumptions!$D$6</f>
        <v>-85620.22819200001</v>
      </c>
      <c r="J15" s="68">
        <f>-J37*Assumptions!$D$6</f>
        <v>-97555.688001964809</v>
      </c>
      <c r="K15" s="68">
        <f>-K37*Assumptions!$D$6</f>
        <v>-108055.93188724296</v>
      </c>
      <c r="L15" s="68">
        <f>-L37*Assumptions!$D$6</f>
        <v>-102577.49614055976</v>
      </c>
      <c r="M15" s="68">
        <f>-M37*Assumptions!$D$6</f>
        <v>-111287.79095569528</v>
      </c>
      <c r="N15" s="68">
        <f>-N37*Assumptions!$D$6</f>
        <v>-118838.66757203921</v>
      </c>
      <c r="O15" s="68">
        <f>-O37*Assumptions!$D$6</f>
        <v>-125321.97710291378</v>
      </c>
      <c r="P15" s="68">
        <f>-P37*Assumptions!$D$6</f>
        <v>-130823.61189773168</v>
      </c>
      <c r="Q15" s="68">
        <f>-Q37*Assumptions!$D$6</f>
        <v>-146709.16629880446</v>
      </c>
      <c r="R15" s="68">
        <f>-R37*Assumptions!$D$6</f>
        <v>-149889.36961134319</v>
      </c>
      <c r="S15" s="68">
        <f>-S37*Assumptions!$D$6</f>
        <v>-152341.13144284301</v>
      </c>
      <c r="T15" s="68">
        <f>-T37*Assumptions!$D$6</f>
        <v>-163761.63826334148</v>
      </c>
      <c r="U15" s="68">
        <f>-U37*Assumptions!$D$6</f>
        <v>-164430.17106895769</v>
      </c>
      <c r="V15" s="68">
        <f>-V37*Assumptions!$D$6</f>
        <v>-164574.50421911824</v>
      </c>
      <c r="W15" s="68">
        <f>-W37*Assumptions!$D$6</f>
        <v>-172457.622971214</v>
      </c>
      <c r="X15" s="68">
        <f>-X37*Assumptions!$D$6</f>
        <v>-179041.39803483413</v>
      </c>
      <c r="Y15" s="69">
        <f>-Y37*Assumptions!$D$6</f>
        <v>-169677.53291761229</v>
      </c>
      <c r="Z15" s="68"/>
      <c r="AB15" s="62">
        <f>NPV(Assumptions!$D$16,F15:Z15)</f>
        <v>-1658885.8623003138</v>
      </c>
    </row>
    <row r="16" spans="2:28" x14ac:dyDescent="0.25">
      <c r="C16" s="106" t="s">
        <v>12</v>
      </c>
      <c r="D16" s="70"/>
      <c r="E16" s="70"/>
      <c r="F16" s="70">
        <f t="shared" ref="F16:Y16" si="1">SUM(F8:F15)</f>
        <v>-158000</v>
      </c>
      <c r="G16" s="70">
        <f>SUM(G8:G15)</f>
        <v>165705.20000000001</v>
      </c>
      <c r="H16" s="70">
        <f t="shared" si="1"/>
        <v>139318.85471999994</v>
      </c>
      <c r="I16" s="70">
        <f t="shared" si="1"/>
        <v>132283.25255663999</v>
      </c>
      <c r="J16" s="70">
        <f t="shared" si="1"/>
        <v>109343.66696886889</v>
      </c>
      <c r="K16" s="70">
        <f t="shared" si="1"/>
        <v>88374.315722066574</v>
      </c>
      <c r="L16" s="70">
        <f t="shared" si="1"/>
        <v>83893.737914957776</v>
      </c>
      <c r="M16" s="70">
        <f t="shared" si="1"/>
        <v>65729.351533207504</v>
      </c>
      <c r="N16" s="70">
        <f t="shared" si="1"/>
        <v>49186.00407842733</v>
      </c>
      <c r="O16" s="70">
        <f t="shared" si="1"/>
        <v>34150.238760544016</v>
      </c>
      <c r="P16" s="70">
        <f t="shared" si="1"/>
        <v>20515.52095668971</v>
      </c>
      <c r="Q16" s="70">
        <f t="shared" si="1"/>
        <v>-3103.4631332439603</v>
      </c>
      <c r="R16" s="70">
        <f t="shared" si="1"/>
        <v>-13650.63901817592</v>
      </c>
      <c r="S16" s="70">
        <f t="shared" si="1"/>
        <v>-23105.071602164535</v>
      </c>
      <c r="T16" s="70">
        <f t="shared" si="1"/>
        <v>-41181.235504457945</v>
      </c>
      <c r="U16" s="70">
        <f t="shared" si="1"/>
        <v>-48187.17513270842</v>
      </c>
      <c r="V16" s="70">
        <f t="shared" si="1"/>
        <v>-54352.895472366698</v>
      </c>
      <c r="W16" s="70">
        <f t="shared" si="1"/>
        <v>-67956.515718418857</v>
      </c>
      <c r="X16" s="70">
        <f t="shared" si="1"/>
        <v>-79984.798469909598</v>
      </c>
      <c r="Y16" s="71">
        <f t="shared" si="1"/>
        <v>-75801.593509933329</v>
      </c>
      <c r="Z16" s="68"/>
      <c r="AB16" s="73">
        <f>SUM(AB8:AB15)</f>
        <v>470713.56831281935</v>
      </c>
    </row>
    <row r="18" spans="2:28" x14ac:dyDescent="0.25">
      <c r="C18" s="73" t="s">
        <v>11</v>
      </c>
      <c r="F18" s="64"/>
      <c r="G18" s="64"/>
      <c r="H18" s="64"/>
      <c r="I18" s="64"/>
      <c r="J18" s="64"/>
      <c r="K18" s="64"/>
      <c r="L18" s="64"/>
      <c r="M18" s="64"/>
      <c r="N18" s="64"/>
      <c r="O18" s="64"/>
      <c r="P18" s="64"/>
      <c r="Q18" s="64"/>
      <c r="R18" s="64"/>
      <c r="S18" s="64"/>
      <c r="T18" s="64"/>
      <c r="U18" s="64"/>
      <c r="V18" s="64"/>
      <c r="W18" s="64"/>
      <c r="X18" s="64"/>
      <c r="Y18" s="64"/>
      <c r="AB18" s="74" t="s">
        <v>2</v>
      </c>
    </row>
    <row r="19" spans="2:28" x14ac:dyDescent="0.25">
      <c r="B19" s="62" t="s">
        <v>0</v>
      </c>
      <c r="C19" s="102" t="s">
        <v>53</v>
      </c>
      <c r="D19" s="66"/>
      <c r="E19" s="66"/>
      <c r="F19" s="66">
        <f t="shared" ref="F19:Y19" si="2">F8</f>
        <v>310000</v>
      </c>
      <c r="G19" s="66">
        <f t="shared" si="2"/>
        <v>294376</v>
      </c>
      <c r="H19" s="66">
        <f t="shared" si="2"/>
        <v>279539.44959999999</v>
      </c>
      <c r="I19" s="66">
        <f t="shared" si="2"/>
        <v>265422.70739520004</v>
      </c>
      <c r="J19" s="66">
        <f t="shared" si="2"/>
        <v>252018.86067174241</v>
      </c>
      <c r="K19" s="66">
        <f t="shared" si="2"/>
        <v>239266.70632175228</v>
      </c>
      <c r="L19" s="66">
        <f t="shared" si="2"/>
        <v>227135.88431123944</v>
      </c>
      <c r="M19" s="66">
        <f t="shared" si="2"/>
        <v>215620.0949766596</v>
      </c>
      <c r="N19" s="66">
        <f t="shared" si="2"/>
        <v>204666.59415184529</v>
      </c>
      <c r="O19" s="66">
        <f t="shared" si="2"/>
        <v>194249.06450951635</v>
      </c>
      <c r="P19" s="66">
        <f t="shared" si="2"/>
        <v>184342.362219531</v>
      </c>
      <c r="Q19" s="66">
        <f t="shared" si="2"/>
        <v>174922.467510113</v>
      </c>
      <c r="R19" s="66">
        <f t="shared" si="2"/>
        <v>165948.94492684421</v>
      </c>
      <c r="S19" s="66">
        <f t="shared" si="2"/>
        <v>157419.16915760442</v>
      </c>
      <c r="T19" s="66">
        <f t="shared" si="2"/>
        <v>149312.0819459878</v>
      </c>
      <c r="U19" s="66">
        <f t="shared" si="2"/>
        <v>141592.64730938023</v>
      </c>
      <c r="V19" s="66">
        <f t="shared" si="2"/>
        <v>134258.14817875435</v>
      </c>
      <c r="W19" s="66">
        <f t="shared" si="2"/>
        <v>127290.150288277</v>
      </c>
      <c r="X19" s="66">
        <f t="shared" si="2"/>
        <v>120658.33345825778</v>
      </c>
      <c r="Y19" s="67">
        <f t="shared" si="2"/>
        <v>114347.90261839089</v>
      </c>
      <c r="Z19" s="68"/>
      <c r="AB19" s="62">
        <f>NPV(Assumptions!$D$16,G19:Z19)+F19</f>
        <v>2981000.6625720072</v>
      </c>
    </row>
    <row r="20" spans="2:28" x14ac:dyDescent="0.25">
      <c r="B20" s="62" t="s">
        <v>0</v>
      </c>
      <c r="C20" s="103" t="s">
        <v>13</v>
      </c>
      <c r="D20" s="68"/>
      <c r="E20" s="68"/>
      <c r="F20" s="68">
        <f t="shared" ref="F20:Y20" si="3">F9</f>
        <v>-248000</v>
      </c>
      <c r="G20" s="68">
        <f t="shared" si="3"/>
        <v>0</v>
      </c>
      <c r="H20" s="68">
        <f t="shared" si="3"/>
        <v>0</v>
      </c>
      <c r="I20" s="68">
        <f t="shared" si="3"/>
        <v>0</v>
      </c>
      <c r="J20" s="68">
        <f t="shared" si="3"/>
        <v>0</v>
      </c>
      <c r="K20" s="68">
        <f t="shared" si="3"/>
        <v>0</v>
      </c>
      <c r="L20" s="68">
        <f t="shared" si="3"/>
        <v>0</v>
      </c>
      <c r="M20" s="68">
        <f t="shared" si="3"/>
        <v>0</v>
      </c>
      <c r="N20" s="68">
        <f t="shared" si="3"/>
        <v>0</v>
      </c>
      <c r="O20" s="68">
        <f t="shared" si="3"/>
        <v>0</v>
      </c>
      <c r="P20" s="68">
        <f t="shared" si="3"/>
        <v>0</v>
      </c>
      <c r="Q20" s="68">
        <f t="shared" si="3"/>
        <v>0</v>
      </c>
      <c r="R20" s="68">
        <f t="shared" si="3"/>
        <v>0</v>
      </c>
      <c r="S20" s="68">
        <f t="shared" si="3"/>
        <v>0</v>
      </c>
      <c r="T20" s="68">
        <f t="shared" si="3"/>
        <v>0</v>
      </c>
      <c r="U20" s="68">
        <f t="shared" si="3"/>
        <v>0</v>
      </c>
      <c r="V20" s="68">
        <f t="shared" si="3"/>
        <v>0</v>
      </c>
      <c r="W20" s="68">
        <f t="shared" si="3"/>
        <v>0</v>
      </c>
      <c r="X20" s="68">
        <f t="shared" si="3"/>
        <v>0</v>
      </c>
      <c r="Y20" s="69">
        <f t="shared" si="3"/>
        <v>0</v>
      </c>
      <c r="Z20" s="68"/>
      <c r="AB20" s="62">
        <f>NPV(Assumptions!$D$16,G20:Z20)+F20</f>
        <v>-248000</v>
      </c>
    </row>
    <row r="21" spans="2:28" x14ac:dyDescent="0.25">
      <c r="B21" s="62" t="s">
        <v>0</v>
      </c>
      <c r="C21" s="104" t="s">
        <v>54</v>
      </c>
      <c r="D21" s="68"/>
      <c r="E21" s="68"/>
      <c r="F21" s="68">
        <f t="shared" ref="F21:Y21" si="4">F10</f>
        <v>0</v>
      </c>
      <c r="G21" s="68">
        <f t="shared" si="4"/>
        <v>-14718.800000000001</v>
      </c>
      <c r="H21" s="68">
        <f t="shared" si="4"/>
        <v>-13976.97248</v>
      </c>
      <c r="I21" s="68">
        <f t="shared" si="4"/>
        <v>-13271.135369760003</v>
      </c>
      <c r="J21" s="68">
        <f t="shared" si="4"/>
        <v>-12600.943033587122</v>
      </c>
      <c r="K21" s="68">
        <f t="shared" si="4"/>
        <v>-11963.335316087614</v>
      </c>
      <c r="L21" s="68">
        <f t="shared" si="4"/>
        <v>-11356.794215561973</v>
      </c>
      <c r="M21" s="68">
        <f t="shared" si="4"/>
        <v>-10781.00474883298</v>
      </c>
      <c r="N21" s="68">
        <f t="shared" si="4"/>
        <v>-10233.329707592266</v>
      </c>
      <c r="O21" s="68">
        <f t="shared" si="4"/>
        <v>-9712.4532254758178</v>
      </c>
      <c r="P21" s="68">
        <f t="shared" si="4"/>
        <v>-9217.1181109765512</v>
      </c>
      <c r="Q21" s="68">
        <f t="shared" si="4"/>
        <v>-8746.123375505651</v>
      </c>
      <c r="R21" s="68">
        <f t="shared" si="4"/>
        <v>-8297.4472463422117</v>
      </c>
      <c r="S21" s="68">
        <f t="shared" si="4"/>
        <v>-7870.9584578802214</v>
      </c>
      <c r="T21" s="68">
        <f t="shared" si="4"/>
        <v>-7465.6040972993906</v>
      </c>
      <c r="U21" s="68">
        <f t="shared" si="4"/>
        <v>-7079.6323654690123</v>
      </c>
      <c r="V21" s="68">
        <f t="shared" si="4"/>
        <v>-6712.9074089377173</v>
      </c>
      <c r="W21" s="68">
        <f t="shared" si="4"/>
        <v>-6364.50751441385</v>
      </c>
      <c r="X21" s="68">
        <f t="shared" si="4"/>
        <v>-6032.9166729128892</v>
      </c>
      <c r="Y21" s="69">
        <f t="shared" si="4"/>
        <v>-5717.3951309195445</v>
      </c>
      <c r="Z21" s="68"/>
      <c r="AB21" s="62">
        <f>NPV(Assumptions!$D$16,G21:Z21)+F21</f>
        <v>-133550.03312860033</v>
      </c>
    </row>
    <row r="22" spans="2:28" x14ac:dyDescent="0.25">
      <c r="B22" s="62" t="s">
        <v>0</v>
      </c>
      <c r="C22" s="104" t="s">
        <v>45</v>
      </c>
      <c r="D22" s="68"/>
      <c r="E22" s="68"/>
      <c r="F22" s="68">
        <f t="shared" ref="F22:Y22" si="5">F11</f>
        <v>-40000</v>
      </c>
      <c r="G22" s="68">
        <f t="shared" si="5"/>
        <v>0</v>
      </c>
      <c r="H22" s="68">
        <f t="shared" si="5"/>
        <v>0</v>
      </c>
      <c r="I22" s="68">
        <f t="shared" si="5"/>
        <v>0</v>
      </c>
      <c r="J22" s="68">
        <f t="shared" si="5"/>
        <v>0</v>
      </c>
      <c r="K22" s="68">
        <f t="shared" si="5"/>
        <v>0</v>
      </c>
      <c r="L22" s="68">
        <f t="shared" si="5"/>
        <v>0</v>
      </c>
      <c r="M22" s="68">
        <f t="shared" si="5"/>
        <v>0</v>
      </c>
      <c r="N22" s="68">
        <f t="shared" si="5"/>
        <v>0</v>
      </c>
      <c r="O22" s="68">
        <f t="shared" si="5"/>
        <v>0</v>
      </c>
      <c r="P22" s="68">
        <f t="shared" si="5"/>
        <v>0</v>
      </c>
      <c r="Q22" s="68">
        <f t="shared" si="5"/>
        <v>0</v>
      </c>
      <c r="R22" s="68">
        <f t="shared" si="5"/>
        <v>0</v>
      </c>
      <c r="S22" s="68">
        <f t="shared" si="5"/>
        <v>0</v>
      </c>
      <c r="T22" s="68">
        <f t="shared" si="5"/>
        <v>0</v>
      </c>
      <c r="U22" s="68">
        <f t="shared" si="5"/>
        <v>0</v>
      </c>
      <c r="V22" s="68">
        <f t="shared" si="5"/>
        <v>0</v>
      </c>
      <c r="W22" s="68">
        <f t="shared" si="5"/>
        <v>0</v>
      </c>
      <c r="X22" s="68">
        <f t="shared" si="5"/>
        <v>0</v>
      </c>
      <c r="Y22" s="69">
        <f t="shared" si="5"/>
        <v>0</v>
      </c>
      <c r="Z22" s="68"/>
      <c r="AB22" s="62">
        <f>NPV(Assumptions!$D$16,G22:Z22)+F22</f>
        <v>-40000</v>
      </c>
    </row>
    <row r="23" spans="2:28" x14ac:dyDescent="0.25">
      <c r="B23" s="62" t="s">
        <v>1</v>
      </c>
      <c r="C23" s="104" t="s">
        <v>47</v>
      </c>
      <c r="D23" s="68"/>
      <c r="E23" s="68"/>
      <c r="F23" s="68">
        <f t="shared" ref="F23:Y23" si="6">F12</f>
        <v>-25000</v>
      </c>
      <c r="G23" s="68">
        <f t="shared" si="6"/>
        <v>-23740</v>
      </c>
      <c r="H23" s="68">
        <f t="shared" si="6"/>
        <v>-22543.504000000001</v>
      </c>
      <c r="I23" s="68">
        <f t="shared" si="6"/>
        <v>-21405.057048000002</v>
      </c>
      <c r="J23" s="68">
        <f t="shared" si="6"/>
        <v>-20324.101667076</v>
      </c>
      <c r="K23" s="68">
        <f t="shared" si="6"/>
        <v>-19295.702122721956</v>
      </c>
      <c r="L23" s="68">
        <f t="shared" si="6"/>
        <v>-18317.410025099955</v>
      </c>
      <c r="M23" s="68">
        <f t="shared" si="6"/>
        <v>-17388.717336827387</v>
      </c>
      <c r="N23" s="68">
        <f t="shared" si="6"/>
        <v>-16505.370496116557</v>
      </c>
      <c r="O23" s="68">
        <f t="shared" si="6"/>
        <v>-15665.247137864222</v>
      </c>
      <c r="P23" s="68">
        <f t="shared" si="6"/>
        <v>-14866.319533833146</v>
      </c>
      <c r="Q23" s="68">
        <f t="shared" si="6"/>
        <v>-14106.650605654275</v>
      </c>
      <c r="R23" s="68">
        <f t="shared" si="6"/>
        <v>-13382.979429584211</v>
      </c>
      <c r="S23" s="68">
        <f t="shared" si="6"/>
        <v>-12695.094286903583</v>
      </c>
      <c r="T23" s="68">
        <f t="shared" si="6"/>
        <v>-12041.296931128049</v>
      </c>
      <c r="U23" s="68">
        <f t="shared" si="6"/>
        <v>-11418.761879788728</v>
      </c>
      <c r="V23" s="68">
        <f t="shared" si="6"/>
        <v>-10827.270014415673</v>
      </c>
      <c r="W23" s="68">
        <f t="shared" si="6"/>
        <v>-10265.334700667501</v>
      </c>
      <c r="X23" s="68">
        <f t="shared" si="6"/>
        <v>-9730.510762762724</v>
      </c>
      <c r="Y23" s="69">
        <f t="shared" si="6"/>
        <v>-9221.6050498702334</v>
      </c>
      <c r="Z23" s="68"/>
      <c r="AB23" s="62">
        <f>NPV(Assumptions!$D$16,F23:Z23)</f>
        <v>-231156.99926892118</v>
      </c>
    </row>
    <row r="24" spans="2:28" x14ac:dyDescent="0.25">
      <c r="B24" s="62" t="s">
        <v>0</v>
      </c>
      <c r="C24" s="104" t="s">
        <v>46</v>
      </c>
      <c r="D24" s="68"/>
      <c r="E24" s="68"/>
      <c r="F24" s="68">
        <f t="shared" ref="F24:Y24" si="7">F13</f>
        <v>-60000</v>
      </c>
      <c r="G24" s="68">
        <f t="shared" si="7"/>
        <v>0</v>
      </c>
      <c r="H24" s="68">
        <f t="shared" si="7"/>
        <v>0</v>
      </c>
      <c r="I24" s="68">
        <f t="shared" si="7"/>
        <v>0</v>
      </c>
      <c r="J24" s="68">
        <f t="shared" si="7"/>
        <v>0</v>
      </c>
      <c r="K24" s="68">
        <f t="shared" si="7"/>
        <v>0</v>
      </c>
      <c r="L24" s="68">
        <f t="shared" si="7"/>
        <v>0</v>
      </c>
      <c r="M24" s="68">
        <f t="shared" si="7"/>
        <v>0</v>
      </c>
      <c r="N24" s="68">
        <f t="shared" si="7"/>
        <v>0</v>
      </c>
      <c r="O24" s="68">
        <f t="shared" si="7"/>
        <v>0</v>
      </c>
      <c r="P24" s="68">
        <f t="shared" si="7"/>
        <v>0</v>
      </c>
      <c r="Q24" s="68">
        <f t="shared" si="7"/>
        <v>0</v>
      </c>
      <c r="R24" s="68">
        <f t="shared" si="7"/>
        <v>0</v>
      </c>
      <c r="S24" s="68">
        <f t="shared" si="7"/>
        <v>0</v>
      </c>
      <c r="T24" s="68">
        <f t="shared" si="7"/>
        <v>0</v>
      </c>
      <c r="U24" s="68">
        <f t="shared" si="7"/>
        <v>0</v>
      </c>
      <c r="V24" s="68">
        <f t="shared" si="7"/>
        <v>0</v>
      </c>
      <c r="W24" s="68">
        <f t="shared" si="7"/>
        <v>0</v>
      </c>
      <c r="X24" s="68">
        <f t="shared" si="7"/>
        <v>0</v>
      </c>
      <c r="Y24" s="69">
        <f t="shared" si="7"/>
        <v>0</v>
      </c>
      <c r="Z24" s="68"/>
      <c r="AB24" s="62">
        <f>NPV(Assumptions!$D$16,G24:Z24)+F24</f>
        <v>-60000</v>
      </c>
    </row>
    <row r="25" spans="2:28" x14ac:dyDescent="0.25">
      <c r="B25" s="62" t="s">
        <v>1</v>
      </c>
      <c r="C25" s="104" t="s">
        <v>48</v>
      </c>
      <c r="D25" s="68"/>
      <c r="E25" s="68"/>
      <c r="F25" s="68">
        <f>F14</f>
        <v>-15000</v>
      </c>
      <c r="G25" s="68">
        <f t="shared" ref="G25:Y25" si="8">G14</f>
        <v>-14244</v>
      </c>
      <c r="H25" s="68">
        <f t="shared" si="8"/>
        <v>-13526.102400000002</v>
      </c>
      <c r="I25" s="68">
        <f t="shared" si="8"/>
        <v>-12843.034228800003</v>
      </c>
      <c r="J25" s="68">
        <f t="shared" si="8"/>
        <v>-12194.461000245601</v>
      </c>
      <c r="K25" s="68">
        <f t="shared" si="8"/>
        <v>-11577.421273633174</v>
      </c>
      <c r="L25" s="68">
        <f t="shared" si="8"/>
        <v>-10990.446015059973</v>
      </c>
      <c r="M25" s="68">
        <f t="shared" si="8"/>
        <v>-10433.230402096431</v>
      </c>
      <c r="N25" s="68">
        <f t="shared" si="8"/>
        <v>-9903.2222976699322</v>
      </c>
      <c r="O25" s="68">
        <f t="shared" si="8"/>
        <v>-9399.1482827185337</v>
      </c>
      <c r="P25" s="68">
        <f t="shared" si="8"/>
        <v>-8919.7917202998869</v>
      </c>
      <c r="Q25" s="68">
        <f t="shared" si="8"/>
        <v>-8463.9903633925642</v>
      </c>
      <c r="R25" s="68">
        <f t="shared" si="8"/>
        <v>-8029.7876577505267</v>
      </c>
      <c r="S25" s="68">
        <f t="shared" si="8"/>
        <v>-7617.0565721421499</v>
      </c>
      <c r="T25" s="68">
        <f t="shared" si="8"/>
        <v>-7224.7781586768288</v>
      </c>
      <c r="U25" s="68">
        <f t="shared" si="8"/>
        <v>-6851.2571278732366</v>
      </c>
      <c r="V25" s="68">
        <f t="shared" si="8"/>
        <v>-6496.3620086494038</v>
      </c>
      <c r="W25" s="68">
        <f t="shared" si="8"/>
        <v>-6159.2008204005006</v>
      </c>
      <c r="X25" s="68">
        <f t="shared" si="8"/>
        <v>-5838.3064576576344</v>
      </c>
      <c r="Y25" s="69">
        <f t="shared" si="8"/>
        <v>-5532.9630299221399</v>
      </c>
      <c r="Z25" s="68"/>
      <c r="AB25" s="62">
        <f>NPV(Assumptions!$D$16,F25:Z25)</f>
        <v>-138694.19956135267</v>
      </c>
    </row>
    <row r="26" spans="2:28" x14ac:dyDescent="0.25">
      <c r="B26" s="62" t="s">
        <v>1</v>
      </c>
      <c r="C26" s="105" t="s">
        <v>9</v>
      </c>
      <c r="D26" s="68"/>
      <c r="E26" s="68"/>
      <c r="F26" s="68">
        <f t="shared" ref="F26:Y26" si="9">F15</f>
        <v>-80000</v>
      </c>
      <c r="G26" s="68">
        <f t="shared" si="9"/>
        <v>-75968</v>
      </c>
      <c r="H26" s="68">
        <f t="shared" si="9"/>
        <v>-90174.016000000018</v>
      </c>
      <c r="I26" s="68">
        <f t="shared" si="9"/>
        <v>-85620.22819200001</v>
      </c>
      <c r="J26" s="68">
        <f t="shared" si="9"/>
        <v>-97555.688001964809</v>
      </c>
      <c r="K26" s="68">
        <f t="shared" si="9"/>
        <v>-108055.93188724296</v>
      </c>
      <c r="L26" s="68">
        <f t="shared" si="9"/>
        <v>-102577.49614055976</v>
      </c>
      <c r="M26" s="68">
        <f t="shared" si="9"/>
        <v>-111287.79095569528</v>
      </c>
      <c r="N26" s="68">
        <f t="shared" si="9"/>
        <v>-118838.66757203921</v>
      </c>
      <c r="O26" s="68">
        <f t="shared" si="9"/>
        <v>-125321.97710291378</v>
      </c>
      <c r="P26" s="68">
        <f t="shared" si="9"/>
        <v>-130823.61189773168</v>
      </c>
      <c r="Q26" s="68">
        <f t="shared" si="9"/>
        <v>-146709.16629880446</v>
      </c>
      <c r="R26" s="68">
        <f t="shared" si="9"/>
        <v>-149889.36961134319</v>
      </c>
      <c r="S26" s="68">
        <f t="shared" si="9"/>
        <v>-152341.13144284301</v>
      </c>
      <c r="T26" s="68">
        <f t="shared" si="9"/>
        <v>-163761.63826334148</v>
      </c>
      <c r="U26" s="68">
        <f t="shared" si="9"/>
        <v>-164430.17106895769</v>
      </c>
      <c r="V26" s="68">
        <f t="shared" si="9"/>
        <v>-164574.50421911824</v>
      </c>
      <c r="W26" s="68">
        <f t="shared" si="9"/>
        <v>-172457.622971214</v>
      </c>
      <c r="X26" s="68">
        <f t="shared" si="9"/>
        <v>-179041.39803483413</v>
      </c>
      <c r="Y26" s="69">
        <f t="shared" si="9"/>
        <v>-169677.53291761229</v>
      </c>
      <c r="Z26" s="68"/>
      <c r="AB26" s="62">
        <f>NPV(Assumptions!$D$16,F26:Z26)</f>
        <v>-1658885.8623003138</v>
      </c>
    </row>
    <row r="27" spans="2:28" x14ac:dyDescent="0.25">
      <c r="C27" s="106" t="s">
        <v>12</v>
      </c>
      <c r="D27" s="70"/>
      <c r="E27" s="70"/>
      <c r="F27" s="70">
        <f t="shared" ref="F27:Y27" si="10">SUM(F19:F26)</f>
        <v>-158000</v>
      </c>
      <c r="G27" s="70">
        <f t="shared" si="10"/>
        <v>165705.20000000001</v>
      </c>
      <c r="H27" s="70">
        <f t="shared" si="10"/>
        <v>139318.85471999994</v>
      </c>
      <c r="I27" s="70">
        <f t="shared" si="10"/>
        <v>132283.25255663999</v>
      </c>
      <c r="J27" s="70">
        <f t="shared" si="10"/>
        <v>109343.66696886889</v>
      </c>
      <c r="K27" s="70">
        <f t="shared" si="10"/>
        <v>88374.315722066574</v>
      </c>
      <c r="L27" s="70">
        <f t="shared" si="10"/>
        <v>83893.737914957776</v>
      </c>
      <c r="M27" s="70">
        <f t="shared" si="10"/>
        <v>65729.351533207504</v>
      </c>
      <c r="N27" s="70">
        <f t="shared" si="10"/>
        <v>49186.00407842733</v>
      </c>
      <c r="O27" s="70">
        <f t="shared" si="10"/>
        <v>34150.238760544016</v>
      </c>
      <c r="P27" s="70">
        <f t="shared" si="10"/>
        <v>20515.52095668971</v>
      </c>
      <c r="Q27" s="70">
        <f t="shared" si="10"/>
        <v>-3103.4631332439603</v>
      </c>
      <c r="R27" s="70">
        <f t="shared" si="10"/>
        <v>-13650.63901817592</v>
      </c>
      <c r="S27" s="70">
        <f t="shared" si="10"/>
        <v>-23105.071602164535</v>
      </c>
      <c r="T27" s="70">
        <f t="shared" si="10"/>
        <v>-41181.235504457945</v>
      </c>
      <c r="U27" s="70">
        <f t="shared" si="10"/>
        <v>-48187.17513270842</v>
      </c>
      <c r="V27" s="70">
        <f t="shared" si="10"/>
        <v>-54352.895472366698</v>
      </c>
      <c r="W27" s="70">
        <f t="shared" si="10"/>
        <v>-67956.515718418857</v>
      </c>
      <c r="X27" s="70">
        <f t="shared" si="10"/>
        <v>-79984.798469909598</v>
      </c>
      <c r="Y27" s="71">
        <f t="shared" si="10"/>
        <v>-75801.593509933329</v>
      </c>
      <c r="Z27" s="68"/>
      <c r="AB27" s="73">
        <f>SUM(AB19:AB26)</f>
        <v>470713.56831281935</v>
      </c>
    </row>
    <row r="29" spans="2:28" ht="27.6" x14ac:dyDescent="0.25">
      <c r="C29" s="107" t="s">
        <v>14</v>
      </c>
    </row>
    <row r="30" spans="2:28" x14ac:dyDescent="0.25">
      <c r="B30" s="75" t="s">
        <v>1</v>
      </c>
      <c r="C30" s="108" t="s">
        <v>9</v>
      </c>
      <c r="D30" s="76"/>
      <c r="E30" s="76"/>
      <c r="F30" s="76">
        <f>F15*Assumptions!D22</f>
        <v>-8000</v>
      </c>
      <c r="G30" s="76">
        <f>G15*Assumptions!E22</f>
        <v>-7596.8</v>
      </c>
      <c r="H30" s="76">
        <f>H15*Assumptions!F22</f>
        <v>-9017.4016000000029</v>
      </c>
      <c r="I30" s="76">
        <f>I15*Assumptions!G22</f>
        <v>-8562.0228192000013</v>
      </c>
      <c r="J30" s="76">
        <f>J15*Assumptions!H22</f>
        <v>-9755.5688001964809</v>
      </c>
      <c r="K30" s="76">
        <f>K15*Assumptions!I22</f>
        <v>-10805.593188724297</v>
      </c>
      <c r="L30" s="76">
        <f>L15*Assumptions!J22</f>
        <v>-10257.749614055976</v>
      </c>
      <c r="M30" s="76">
        <f>M15*Assumptions!K22</f>
        <v>-11128.779095569529</v>
      </c>
      <c r="N30" s="76">
        <f>N15*Assumptions!L22</f>
        <v>-11883.866757203921</v>
      </c>
      <c r="O30" s="76">
        <f>O15*Assumptions!M22</f>
        <v>-12532.197710291379</v>
      </c>
      <c r="P30" s="76">
        <f>P15*Assumptions!N22</f>
        <v>-13082.361189773168</v>
      </c>
      <c r="Q30" s="76">
        <f>Q15*Assumptions!O22</f>
        <v>-14670.916629880447</v>
      </c>
      <c r="R30" s="76">
        <f>R15*Assumptions!P22</f>
        <v>-14988.936961134321</v>
      </c>
      <c r="S30" s="76">
        <f>S15*Assumptions!Q22</f>
        <v>-15234.113144284302</v>
      </c>
      <c r="T30" s="76">
        <f>T15*Assumptions!R22</f>
        <v>-16376.163826334148</v>
      </c>
      <c r="U30" s="76">
        <f>U15*Assumptions!S22</f>
        <v>-16443.017106895768</v>
      </c>
      <c r="V30" s="76">
        <f>V15*Assumptions!T22</f>
        <v>-16457.450421911824</v>
      </c>
      <c r="W30" s="76">
        <f>W15*Assumptions!U22</f>
        <v>-17245.7622971214</v>
      </c>
      <c r="X30" s="76">
        <f>X15*Assumptions!V22</f>
        <v>-17904.139803483413</v>
      </c>
      <c r="Y30" s="77">
        <f>Y15*Assumptions!W22</f>
        <v>-16967.75329176123</v>
      </c>
      <c r="Z30" s="68"/>
    </row>
    <row r="31" spans="2:28" x14ac:dyDescent="0.25">
      <c r="B31" s="75"/>
      <c r="C31" s="109"/>
      <c r="D31" s="68"/>
      <c r="E31" s="68"/>
      <c r="F31" s="68"/>
      <c r="G31" s="68"/>
      <c r="H31" s="68"/>
      <c r="I31" s="68"/>
      <c r="J31" s="68"/>
      <c r="K31" s="68"/>
      <c r="L31" s="68"/>
      <c r="M31" s="68"/>
      <c r="N31" s="68"/>
      <c r="O31" s="68"/>
      <c r="P31" s="68"/>
      <c r="Q31" s="68"/>
      <c r="R31" s="68"/>
      <c r="S31" s="68"/>
      <c r="T31" s="68"/>
      <c r="U31" s="68"/>
      <c r="V31" s="68"/>
      <c r="W31" s="68"/>
      <c r="X31" s="68"/>
      <c r="Y31" s="68"/>
    </row>
    <row r="32" spans="2:28" ht="27.6" x14ac:dyDescent="0.25">
      <c r="B32" s="75"/>
      <c r="C32" s="107" t="s">
        <v>15</v>
      </c>
      <c r="D32" s="68"/>
      <c r="E32" s="68"/>
      <c r="F32" s="68"/>
      <c r="G32" s="68"/>
      <c r="H32" s="68"/>
      <c r="I32" s="68"/>
      <c r="J32" s="68"/>
      <c r="K32" s="68"/>
      <c r="L32" s="68"/>
      <c r="M32" s="68"/>
      <c r="N32" s="68"/>
      <c r="O32" s="68"/>
      <c r="P32" s="68"/>
      <c r="Q32" s="68"/>
      <c r="R32" s="68"/>
      <c r="S32" s="68"/>
      <c r="T32" s="68"/>
      <c r="U32" s="68"/>
      <c r="V32" s="68"/>
      <c r="W32" s="68"/>
      <c r="X32" s="68"/>
      <c r="Y32" s="68"/>
    </row>
    <row r="33" spans="2:26" x14ac:dyDescent="0.25">
      <c r="B33" s="75" t="s">
        <v>1</v>
      </c>
      <c r="C33" s="108" t="s">
        <v>9</v>
      </c>
      <c r="D33" s="76"/>
      <c r="E33" s="76"/>
      <c r="F33" s="76">
        <f>F30</f>
        <v>-8000</v>
      </c>
      <c r="G33" s="76">
        <f t="shared" ref="G33:Y33" si="11">G30</f>
        <v>-7596.8</v>
      </c>
      <c r="H33" s="76">
        <f t="shared" si="11"/>
        <v>-9017.4016000000029</v>
      </c>
      <c r="I33" s="76">
        <f t="shared" si="11"/>
        <v>-8562.0228192000013</v>
      </c>
      <c r="J33" s="76">
        <f t="shared" si="11"/>
        <v>-9755.5688001964809</v>
      </c>
      <c r="K33" s="76">
        <f t="shared" si="11"/>
        <v>-10805.593188724297</v>
      </c>
      <c r="L33" s="76">
        <f t="shared" si="11"/>
        <v>-10257.749614055976</v>
      </c>
      <c r="M33" s="76">
        <f t="shared" si="11"/>
        <v>-11128.779095569529</v>
      </c>
      <c r="N33" s="76">
        <f t="shared" si="11"/>
        <v>-11883.866757203921</v>
      </c>
      <c r="O33" s="76">
        <f t="shared" si="11"/>
        <v>-12532.197710291379</v>
      </c>
      <c r="P33" s="76">
        <f t="shared" si="11"/>
        <v>-13082.361189773168</v>
      </c>
      <c r="Q33" s="76">
        <f t="shared" si="11"/>
        <v>-14670.916629880447</v>
      </c>
      <c r="R33" s="76">
        <f t="shared" si="11"/>
        <v>-14988.936961134321</v>
      </c>
      <c r="S33" s="76">
        <f t="shared" si="11"/>
        <v>-15234.113144284302</v>
      </c>
      <c r="T33" s="76">
        <f t="shared" si="11"/>
        <v>-16376.163826334148</v>
      </c>
      <c r="U33" s="76">
        <f t="shared" si="11"/>
        <v>-16443.017106895768</v>
      </c>
      <c r="V33" s="76">
        <f t="shared" si="11"/>
        <v>-16457.450421911824</v>
      </c>
      <c r="W33" s="76">
        <f t="shared" si="11"/>
        <v>-17245.7622971214</v>
      </c>
      <c r="X33" s="76">
        <f t="shared" si="11"/>
        <v>-17904.139803483413</v>
      </c>
      <c r="Y33" s="77">
        <f t="shared" si="11"/>
        <v>-16967.75329176123</v>
      </c>
      <c r="Z33" s="68"/>
    </row>
    <row r="35" spans="2:26" x14ac:dyDescent="0.25">
      <c r="C35" s="73" t="s">
        <v>57</v>
      </c>
    </row>
    <row r="36" spans="2:26" x14ac:dyDescent="0.25">
      <c r="C36" s="110" t="s">
        <v>67</v>
      </c>
      <c r="D36" s="66"/>
      <c r="E36" s="66"/>
      <c r="F36" s="66">
        <f>Assumptions!D7</f>
        <v>1000</v>
      </c>
      <c r="G36" s="66">
        <f>F39</f>
        <v>949.6</v>
      </c>
      <c r="H36" s="66">
        <f t="shared" ref="H36:Y36" si="12">G39</f>
        <v>901.74016000000006</v>
      </c>
      <c r="I36" s="66">
        <f t="shared" si="12"/>
        <v>856.20228192000013</v>
      </c>
      <c r="J36" s="66">
        <f t="shared" si="12"/>
        <v>812.96406668304007</v>
      </c>
      <c r="K36" s="66">
        <f t="shared" si="12"/>
        <v>771.82808490887828</v>
      </c>
      <c r="L36" s="66">
        <f t="shared" si="12"/>
        <v>732.69640100399818</v>
      </c>
      <c r="M36" s="66">
        <f t="shared" si="12"/>
        <v>695.54869347309545</v>
      </c>
      <c r="N36" s="66">
        <f t="shared" si="12"/>
        <v>660.2148198446622</v>
      </c>
      <c r="O36" s="66">
        <f t="shared" si="12"/>
        <v>626.60988551456887</v>
      </c>
      <c r="P36" s="66">
        <f t="shared" si="12"/>
        <v>594.65278135332585</v>
      </c>
      <c r="Q36" s="66">
        <f t="shared" si="12"/>
        <v>564.266024226171</v>
      </c>
      <c r="R36" s="66">
        <f t="shared" si="12"/>
        <v>535.31917718336842</v>
      </c>
      <c r="S36" s="66">
        <f t="shared" si="12"/>
        <v>507.80377147614331</v>
      </c>
      <c r="T36" s="66">
        <f t="shared" si="12"/>
        <v>481.65187724512191</v>
      </c>
      <c r="U36" s="66">
        <f t="shared" si="12"/>
        <v>456.75047519154913</v>
      </c>
      <c r="V36" s="66">
        <f t="shared" si="12"/>
        <v>433.09080057662692</v>
      </c>
      <c r="W36" s="66">
        <f t="shared" si="12"/>
        <v>410.61338802670002</v>
      </c>
      <c r="X36" s="66">
        <f t="shared" si="12"/>
        <v>389.22043051050895</v>
      </c>
      <c r="Y36" s="67">
        <f t="shared" si="12"/>
        <v>368.86420199480932</v>
      </c>
      <c r="Z36" s="68"/>
    </row>
    <row r="37" spans="2:26" x14ac:dyDescent="0.25">
      <c r="C37" s="104" t="s">
        <v>55</v>
      </c>
      <c r="D37" s="68"/>
      <c r="E37" s="68"/>
      <c r="F37" s="79">
        <f>F36*Assumptions!D20</f>
        <v>0.4</v>
      </c>
      <c r="G37" s="79">
        <f>G36*Assumptions!E20</f>
        <v>0.37984000000000001</v>
      </c>
      <c r="H37" s="79">
        <f>H36*Assumptions!F20</f>
        <v>0.45087008000000006</v>
      </c>
      <c r="I37" s="79">
        <f>I36*Assumptions!G20</f>
        <v>0.42810114096000007</v>
      </c>
      <c r="J37" s="79">
        <f>J36*Assumptions!H20</f>
        <v>0.48777844000982407</v>
      </c>
      <c r="K37" s="79">
        <f>K36*Assumptions!I20</f>
        <v>0.54027965943621481</v>
      </c>
      <c r="L37" s="79">
        <f>L36*Assumptions!J20</f>
        <v>0.51288748070279877</v>
      </c>
      <c r="M37" s="79">
        <f>M36*Assumptions!K20</f>
        <v>0.55643895477847638</v>
      </c>
      <c r="N37" s="79">
        <f>N36*Assumptions!L20</f>
        <v>0.59419333786019601</v>
      </c>
      <c r="O37" s="79">
        <f>O36*Assumptions!M20</f>
        <v>0.62660988551456887</v>
      </c>
      <c r="P37" s="79">
        <f>P36*Assumptions!N20</f>
        <v>0.65411805948865842</v>
      </c>
      <c r="Q37" s="79">
        <f>Q36*Assumptions!O20</f>
        <v>0.7335458314940223</v>
      </c>
      <c r="R37" s="79">
        <f>R36*Assumptions!P20</f>
        <v>0.74944684805671591</v>
      </c>
      <c r="S37" s="79">
        <f>S36*Assumptions!Q20</f>
        <v>0.76170565721421502</v>
      </c>
      <c r="T37" s="79">
        <f>T36*Assumptions!R20</f>
        <v>0.81880819131670735</v>
      </c>
      <c r="U37" s="79">
        <f>U36*Assumptions!S20</f>
        <v>0.82215085534478838</v>
      </c>
      <c r="V37" s="79">
        <f>V36*Assumptions!T20</f>
        <v>0.82287252109559117</v>
      </c>
      <c r="W37" s="79">
        <f>W36*Assumptions!U20</f>
        <v>0.86228811485607004</v>
      </c>
      <c r="X37" s="79">
        <f>X36*Assumptions!V20</f>
        <v>0.8952069901741706</v>
      </c>
      <c r="Y37" s="80">
        <f>Y36*Assumptions!W20</f>
        <v>0.84838766458806147</v>
      </c>
      <c r="Z37" s="79"/>
    </row>
    <row r="38" spans="2:26" x14ac:dyDescent="0.25">
      <c r="C38" s="104" t="s">
        <v>56</v>
      </c>
      <c r="D38" s="68"/>
      <c r="E38" s="68"/>
      <c r="F38" s="68">
        <f>F36*Assumptions!D19</f>
        <v>50</v>
      </c>
      <c r="G38" s="68">
        <f>G36*Assumptions!E19</f>
        <v>47.480000000000004</v>
      </c>
      <c r="H38" s="68">
        <f>H36*Assumptions!F19</f>
        <v>45.087008000000004</v>
      </c>
      <c r="I38" s="68">
        <f>I36*Assumptions!G19</f>
        <v>42.810114096000007</v>
      </c>
      <c r="J38" s="68">
        <f>J36*Assumptions!H19</f>
        <v>40.648203334152008</v>
      </c>
      <c r="K38" s="68">
        <f>K36*Assumptions!I19</f>
        <v>38.591404245443918</v>
      </c>
      <c r="L38" s="68">
        <f>L36*Assumptions!J19</f>
        <v>36.634820050199913</v>
      </c>
      <c r="M38" s="68">
        <f>M36*Assumptions!K19</f>
        <v>34.777434673654774</v>
      </c>
      <c r="N38" s="68">
        <f>N36*Assumptions!L19</f>
        <v>33.01074099223311</v>
      </c>
      <c r="O38" s="68">
        <f>O36*Assumptions!M19</f>
        <v>31.330494275728444</v>
      </c>
      <c r="P38" s="68">
        <f>P36*Assumptions!N19</f>
        <v>29.732639067666295</v>
      </c>
      <c r="Q38" s="68">
        <f>Q36*Assumptions!O19</f>
        <v>28.213301211308551</v>
      </c>
      <c r="R38" s="68">
        <f>R36*Assumptions!P19</f>
        <v>26.765958859168421</v>
      </c>
      <c r="S38" s="68">
        <f>S36*Assumptions!Q19</f>
        <v>25.390188573807166</v>
      </c>
      <c r="T38" s="68">
        <f>T36*Assumptions!R19</f>
        <v>24.082593862256097</v>
      </c>
      <c r="U38" s="68">
        <f>U36*Assumptions!S19</f>
        <v>22.837523759577458</v>
      </c>
      <c r="V38" s="68">
        <f>V36*Assumptions!T19</f>
        <v>21.654540028831349</v>
      </c>
      <c r="W38" s="68">
        <f>W36*Assumptions!U19</f>
        <v>20.530669401335004</v>
      </c>
      <c r="X38" s="68">
        <f>X36*Assumptions!V19</f>
        <v>19.46102152552545</v>
      </c>
      <c r="Y38" s="69">
        <f>Y36*Assumptions!W19</f>
        <v>368.86420199480932</v>
      </c>
      <c r="Z38" s="68"/>
    </row>
    <row r="39" spans="2:26" x14ac:dyDescent="0.25">
      <c r="C39" s="111" t="s">
        <v>68</v>
      </c>
      <c r="D39" s="70"/>
      <c r="E39" s="70"/>
      <c r="F39" s="70">
        <f>F36-F37-F38</f>
        <v>949.6</v>
      </c>
      <c r="G39" s="70">
        <f t="shared" ref="G39:Y39" si="13">G36-G37-G38</f>
        <v>901.74016000000006</v>
      </c>
      <c r="H39" s="70">
        <f t="shared" si="13"/>
        <v>856.20228192000013</v>
      </c>
      <c r="I39" s="70">
        <f t="shared" si="13"/>
        <v>812.96406668304007</v>
      </c>
      <c r="J39" s="70">
        <f t="shared" si="13"/>
        <v>771.82808490887828</v>
      </c>
      <c r="K39" s="70">
        <f t="shared" si="13"/>
        <v>732.69640100399818</v>
      </c>
      <c r="L39" s="70">
        <f t="shared" si="13"/>
        <v>695.54869347309545</v>
      </c>
      <c r="M39" s="70">
        <f t="shared" si="13"/>
        <v>660.2148198446622</v>
      </c>
      <c r="N39" s="70">
        <f t="shared" si="13"/>
        <v>626.60988551456887</v>
      </c>
      <c r="O39" s="70">
        <f t="shared" si="13"/>
        <v>594.65278135332585</v>
      </c>
      <c r="P39" s="70">
        <f t="shared" si="13"/>
        <v>564.266024226171</v>
      </c>
      <c r="Q39" s="70">
        <f t="shared" si="13"/>
        <v>535.31917718336842</v>
      </c>
      <c r="R39" s="70">
        <f t="shared" si="13"/>
        <v>507.80377147614331</v>
      </c>
      <c r="S39" s="70">
        <f t="shared" si="13"/>
        <v>481.65187724512191</v>
      </c>
      <c r="T39" s="70">
        <f t="shared" si="13"/>
        <v>456.75047519154913</v>
      </c>
      <c r="U39" s="70">
        <f t="shared" si="13"/>
        <v>433.09080057662692</v>
      </c>
      <c r="V39" s="70">
        <f t="shared" si="13"/>
        <v>410.61338802670002</v>
      </c>
      <c r="W39" s="70">
        <f t="shared" si="13"/>
        <v>389.22043051050895</v>
      </c>
      <c r="X39" s="70">
        <f t="shared" si="13"/>
        <v>368.86420199480932</v>
      </c>
      <c r="Y39" s="71">
        <f t="shared" si="13"/>
        <v>-0.84838766458807413</v>
      </c>
      <c r="Z39" s="68"/>
    </row>
    <row r="41" spans="2:26" ht="27.6" x14ac:dyDescent="0.25">
      <c r="C41" s="81" t="s">
        <v>16</v>
      </c>
    </row>
    <row r="42" spans="2:26" x14ac:dyDescent="0.25">
      <c r="C42" s="102" t="s">
        <v>58</v>
      </c>
      <c r="D42" s="66"/>
      <c r="E42" s="82">
        <f>F8+NPV(Assumptions!D16,Base!G8:Y8)</f>
        <v>2981000.6625720072</v>
      </c>
    </row>
    <row r="43" spans="2:26" x14ac:dyDescent="0.25">
      <c r="C43" s="112" t="s">
        <v>59</v>
      </c>
      <c r="D43" s="68"/>
      <c r="E43" s="82">
        <f>F10+NPV(Assumptions!D16,Base!G10:Y10)</f>
        <v>-133550.03312860033</v>
      </c>
    </row>
    <row r="44" spans="2:26" x14ac:dyDescent="0.25">
      <c r="C44" s="112" t="s">
        <v>60</v>
      </c>
      <c r="D44" s="68"/>
      <c r="E44" s="82">
        <f>NPV(Assumptions!D16,F12:Y12)</f>
        <v>-231156.99926892118</v>
      </c>
    </row>
    <row r="45" spans="2:26" x14ac:dyDescent="0.25">
      <c r="C45" s="112" t="s">
        <v>62</v>
      </c>
      <c r="D45" s="68"/>
      <c r="E45" s="82">
        <f>NPV(Assumptions!D16,F15:Y15)</f>
        <v>-1658885.8623003138</v>
      </c>
    </row>
    <row r="46" spans="2:26" x14ac:dyDescent="0.25">
      <c r="C46" s="112" t="s">
        <v>61</v>
      </c>
      <c r="D46" s="68"/>
      <c r="E46" s="82">
        <f>F9+F11</f>
        <v>-288000</v>
      </c>
    </row>
    <row r="47" spans="2:26" x14ac:dyDescent="0.25">
      <c r="C47" s="112" t="s">
        <v>63</v>
      </c>
      <c r="D47" s="68"/>
      <c r="E47" s="83">
        <f>NPV(Assumptions!D16,F30:Y30)</f>
        <v>-165888.58623003133</v>
      </c>
    </row>
    <row r="48" spans="2:26" x14ac:dyDescent="0.25">
      <c r="C48" s="95" t="s">
        <v>12</v>
      </c>
      <c r="D48" s="78"/>
      <c r="E48" s="95">
        <f>SUM(E42:E47)</f>
        <v>503519.18164414086</v>
      </c>
    </row>
    <row r="49" spans="3:25" ht="27.6" x14ac:dyDescent="0.25">
      <c r="C49" s="84" t="s">
        <v>17</v>
      </c>
      <c r="D49" s="68"/>
      <c r="E49" s="82">
        <f>MAX(0,E48)</f>
        <v>503519.18164414086</v>
      </c>
    </row>
    <row r="50" spans="3:25" ht="27.6" x14ac:dyDescent="0.25">
      <c r="C50" s="85" t="s">
        <v>28</v>
      </c>
      <c r="D50" s="70"/>
      <c r="E50" s="82">
        <f>-E48+E49</f>
        <v>0</v>
      </c>
    </row>
    <row r="52" spans="3:25" ht="27.6" x14ac:dyDescent="0.25">
      <c r="C52" s="65" t="s">
        <v>64</v>
      </c>
    </row>
    <row r="53" spans="3:25" x14ac:dyDescent="0.25">
      <c r="C53" s="113" t="s">
        <v>65</v>
      </c>
      <c r="D53" s="66"/>
      <c r="E53" s="66"/>
      <c r="F53" s="66">
        <v>0</v>
      </c>
      <c r="G53" s="66">
        <f>F61</f>
        <v>-778304.07858913904</v>
      </c>
      <c r="H53" s="66">
        <f t="shared" ref="H53:X53" si="14">G61</f>
        <v>-618300.75373270467</v>
      </c>
      <c r="I53" s="66">
        <f t="shared" si="14"/>
        <v>-479565.32767721289</v>
      </c>
      <c r="J53" s="66">
        <f t="shared" si="14"/>
        <v>-343535.59111784375</v>
      </c>
      <c r="K53" s="66">
        <f t="shared" si="14"/>
        <v>-226162.17008791681</v>
      </c>
      <c r="L53" s="66">
        <f t="shared" si="14"/>
        <v>-126164.78505550713</v>
      </c>
      <c r="M53" s="66">
        <f t="shared" si="14"/>
        <v>-27696.028923882568</v>
      </c>
      <c r="N53" s="66">
        <f t="shared" si="14"/>
        <v>55552.275463579135</v>
      </c>
      <c r="O53" s="66">
        <f t="shared" si="14"/>
        <v>124640.92343598969</v>
      </c>
      <c r="P53" s="66">
        <f t="shared" si="14"/>
        <v>180557.41186805346</v>
      </c>
      <c r="Q53" s="66">
        <f t="shared" si="14"/>
        <v>224220.0307841074</v>
      </c>
      <c r="R53" s="66">
        <f t="shared" si="14"/>
        <v>245196.41301100462</v>
      </c>
      <c r="S53" s="66">
        <f t="shared" si="14"/>
        <v>255689.47807823948</v>
      </c>
      <c r="T53" s="66">
        <f t="shared" si="14"/>
        <v>256410.97059933568</v>
      </c>
      <c r="U53" s="66">
        <f t="shared" si="14"/>
        <v>238384.81119147554</v>
      </c>
      <c r="V53" s="66">
        <f t="shared" si="14"/>
        <v>211964.80623205582</v>
      </c>
      <c r="W53" s="66">
        <f t="shared" si="14"/>
        <v>177688.67464841341</v>
      </c>
      <c r="X53" s="66">
        <f t="shared" si="14"/>
        <v>127835.93244728609</v>
      </c>
      <c r="Y53" s="67">
        <f>X61</f>
        <v>63387.894404339371</v>
      </c>
    </row>
    <row r="54" spans="3:25" ht="27.6" x14ac:dyDescent="0.25">
      <c r="C54" s="114" t="s">
        <v>27</v>
      </c>
      <c r="D54" s="68"/>
      <c r="E54" s="68"/>
      <c r="F54" s="68">
        <f>SUM(E42:E46)*-1</f>
        <v>-669407.76787417219</v>
      </c>
      <c r="G54" s="68">
        <v>0</v>
      </c>
      <c r="H54" s="68">
        <v>0</v>
      </c>
      <c r="I54" s="68">
        <v>0</v>
      </c>
      <c r="J54" s="68">
        <v>0</v>
      </c>
      <c r="K54" s="68">
        <v>0</v>
      </c>
      <c r="L54" s="68">
        <v>0</v>
      </c>
      <c r="M54" s="68">
        <v>0</v>
      </c>
      <c r="N54" s="68">
        <v>0</v>
      </c>
      <c r="O54" s="68">
        <v>0</v>
      </c>
      <c r="P54" s="68">
        <v>0</v>
      </c>
      <c r="Q54" s="68">
        <v>0</v>
      </c>
      <c r="R54" s="68">
        <v>0</v>
      </c>
      <c r="S54" s="68">
        <v>0</v>
      </c>
      <c r="T54" s="68">
        <v>0</v>
      </c>
      <c r="U54" s="68">
        <v>0</v>
      </c>
      <c r="V54" s="68">
        <v>0</v>
      </c>
      <c r="W54" s="68">
        <v>0</v>
      </c>
      <c r="X54" s="68">
        <v>0</v>
      </c>
      <c r="Y54" s="69">
        <v>0</v>
      </c>
    </row>
    <row r="55" spans="3:25" ht="27.6" x14ac:dyDescent="0.25">
      <c r="C55" s="114" t="s">
        <v>32</v>
      </c>
      <c r="D55" s="68"/>
      <c r="E55" s="68"/>
      <c r="F55" s="68">
        <v>0</v>
      </c>
      <c r="G55" s="68">
        <v>0</v>
      </c>
      <c r="H55" s="68">
        <v>0</v>
      </c>
      <c r="I55" s="68">
        <v>0</v>
      </c>
      <c r="J55" s="68">
        <v>0</v>
      </c>
      <c r="K55" s="68">
        <v>0</v>
      </c>
      <c r="L55" s="68">
        <v>0</v>
      </c>
      <c r="M55" s="68">
        <v>0</v>
      </c>
      <c r="N55" s="68">
        <v>0</v>
      </c>
      <c r="O55" s="68">
        <v>0</v>
      </c>
      <c r="P55" s="68">
        <v>0</v>
      </c>
      <c r="Q55" s="68">
        <v>0</v>
      </c>
      <c r="R55" s="68">
        <v>0</v>
      </c>
      <c r="S55" s="68">
        <v>0</v>
      </c>
      <c r="T55" s="68">
        <v>0</v>
      </c>
      <c r="U55" s="68">
        <v>0</v>
      </c>
      <c r="V55" s="68">
        <v>0</v>
      </c>
      <c r="W55" s="68">
        <v>0</v>
      </c>
      <c r="X55" s="68">
        <v>0</v>
      </c>
      <c r="Y55" s="69">
        <v>0</v>
      </c>
    </row>
    <row r="56" spans="3:25" ht="27.6" x14ac:dyDescent="0.25">
      <c r="C56" s="115" t="s">
        <v>30</v>
      </c>
      <c r="D56" s="68"/>
      <c r="E56" s="68"/>
      <c r="F56" s="68">
        <f>F8</f>
        <v>310000</v>
      </c>
      <c r="G56" s="68">
        <f>G8</f>
        <v>294376</v>
      </c>
      <c r="H56" s="68">
        <f>H8</f>
        <v>279539.44959999999</v>
      </c>
      <c r="I56" s="68">
        <f t="shared" ref="I56:X56" si="15">I8</f>
        <v>265422.70739520004</v>
      </c>
      <c r="J56" s="68">
        <f t="shared" si="15"/>
        <v>252018.86067174241</v>
      </c>
      <c r="K56" s="68">
        <f t="shared" si="15"/>
        <v>239266.70632175228</v>
      </c>
      <c r="L56" s="68">
        <f t="shared" si="15"/>
        <v>227135.88431123944</v>
      </c>
      <c r="M56" s="68">
        <f t="shared" si="15"/>
        <v>215620.0949766596</v>
      </c>
      <c r="N56" s="68">
        <f t="shared" si="15"/>
        <v>204666.59415184529</v>
      </c>
      <c r="O56" s="68">
        <f t="shared" si="15"/>
        <v>194249.06450951635</v>
      </c>
      <c r="P56" s="68">
        <f t="shared" si="15"/>
        <v>184342.362219531</v>
      </c>
      <c r="Q56" s="68">
        <f t="shared" si="15"/>
        <v>174922.467510113</v>
      </c>
      <c r="R56" s="68">
        <f t="shared" si="15"/>
        <v>165948.94492684421</v>
      </c>
      <c r="S56" s="68">
        <f t="shared" si="15"/>
        <v>157419.16915760442</v>
      </c>
      <c r="T56" s="68">
        <f t="shared" si="15"/>
        <v>149312.0819459878</v>
      </c>
      <c r="U56" s="68">
        <f t="shared" si="15"/>
        <v>141592.64730938023</v>
      </c>
      <c r="V56" s="68">
        <f t="shared" si="15"/>
        <v>134258.14817875435</v>
      </c>
      <c r="W56" s="68">
        <f t="shared" si="15"/>
        <v>127290.150288277</v>
      </c>
      <c r="X56" s="68">
        <f t="shared" si="15"/>
        <v>120658.33345825778</v>
      </c>
      <c r="Y56" s="69">
        <f>Y8</f>
        <v>114347.90261839089</v>
      </c>
    </row>
    <row r="57" spans="3:25" ht="27.6" x14ac:dyDescent="0.25">
      <c r="C57" s="114" t="s">
        <v>31</v>
      </c>
      <c r="D57" s="68"/>
      <c r="E57" s="68"/>
      <c r="F57" s="68">
        <f>SUM(F9:F12,F15)</f>
        <v>-393000</v>
      </c>
      <c r="G57" s="68">
        <f>SUM(G9:G12,G15)</f>
        <v>-114426.8</v>
      </c>
      <c r="H57" s="68">
        <f>SUM(H9:H12,H15)</f>
        <v>-126694.49248000002</v>
      </c>
      <c r="I57" s="68">
        <f t="shared" ref="I57:X57" si="16">SUM(I9:I12,I15)</f>
        <v>-120296.42060976001</v>
      </c>
      <c r="J57" s="68">
        <f t="shared" si="16"/>
        <v>-130480.73270262792</v>
      </c>
      <c r="K57" s="68">
        <f t="shared" si="16"/>
        <v>-139314.96932605252</v>
      </c>
      <c r="L57" s="68">
        <f t="shared" si="16"/>
        <v>-132251.70038122169</v>
      </c>
      <c r="M57" s="68">
        <f t="shared" si="16"/>
        <v>-139457.51304135565</v>
      </c>
      <c r="N57" s="68">
        <f t="shared" si="16"/>
        <v>-145577.36777574802</v>
      </c>
      <c r="O57" s="68">
        <f t="shared" si="16"/>
        <v>-150699.67746625381</v>
      </c>
      <c r="P57" s="68">
        <f t="shared" si="16"/>
        <v>-154907.04954254138</v>
      </c>
      <c r="Q57" s="68">
        <f t="shared" si="16"/>
        <v>-169561.94027996439</v>
      </c>
      <c r="R57" s="68">
        <f t="shared" si="16"/>
        <v>-171569.79628726962</v>
      </c>
      <c r="S57" s="68">
        <f t="shared" si="16"/>
        <v>-172907.18418762682</v>
      </c>
      <c r="T57" s="68">
        <f t="shared" si="16"/>
        <v>-183268.53929176892</v>
      </c>
      <c r="U57" s="68">
        <f t="shared" si="16"/>
        <v>-182928.56531421543</v>
      </c>
      <c r="V57" s="68">
        <f t="shared" si="16"/>
        <v>-182114.68164247164</v>
      </c>
      <c r="W57" s="68">
        <f t="shared" si="16"/>
        <v>-189087.46518629536</v>
      </c>
      <c r="X57" s="68">
        <f t="shared" si="16"/>
        <v>-194804.82547050974</v>
      </c>
      <c r="Y57" s="69">
        <f>SUM(Y9:Y12,Y15)</f>
        <v>-184616.53309840208</v>
      </c>
    </row>
    <row r="58" spans="3:25" ht="27.6" x14ac:dyDescent="0.25">
      <c r="C58" s="115" t="s">
        <v>29</v>
      </c>
      <c r="D58" s="68"/>
      <c r="E58" s="68"/>
      <c r="F58" s="68">
        <f>(F53+F54)*Assumptions!D16+SUM(F8:F11)*Assumptions!D16</f>
        <v>-25896.310714966887</v>
      </c>
      <c r="G58" s="68">
        <f>(G53+G54)*Assumptions!E16+SUM(G8:G11)*Assumptions!E16</f>
        <v>-19945.875143565561</v>
      </c>
      <c r="H58" s="68">
        <f>(H53+H54)*Assumptions!F16+SUM(H8:H11)*Assumptions!F16</f>
        <v>-14109.531064508186</v>
      </c>
      <c r="I58" s="68">
        <f>(I53+I54)*Assumptions!G16+SUM(I8:I11)*Assumptions!G16</f>
        <v>-9096.5502260709163</v>
      </c>
      <c r="J58" s="68">
        <f>(J53+J54)*Assumptions!H16+SUM(J8:J11)*Assumptions!H16</f>
        <v>-4164.7069391875393</v>
      </c>
      <c r="K58" s="68">
        <f>(K53+K54)*Assumptions!I16+SUM(K8:K11)*Assumptions!I16</f>
        <v>45.648036709913868</v>
      </c>
      <c r="L58" s="68">
        <f>(L53+L54)*Assumptions!J16+SUM(L8:L11)*Assumptions!J16</f>
        <v>3584.5722016068139</v>
      </c>
      <c r="M58" s="68">
        <f>(M53+M54)*Assumptions!K16+SUM(M8:M11)*Assumptions!K16</f>
        <v>7085.7224521577627</v>
      </c>
      <c r="N58" s="68">
        <f>(N53+N54)*Assumptions!L16+SUM(N8:N11)*Assumptions!L16</f>
        <v>9999.4215963132865</v>
      </c>
      <c r="O58" s="68">
        <f>(O53+O54)*Assumptions!M16+SUM(O8:O11)*Assumptions!M16</f>
        <v>12367.101388801209</v>
      </c>
      <c r="P58" s="68">
        <f>(P53+P54)*Assumptions!N16+SUM(P8:P11)*Assumptions!N16</f>
        <v>14227.306239064317</v>
      </c>
      <c r="Q58" s="68">
        <f>(Q53+Q54)*Assumptions!O16+SUM(Q8:Q11)*Assumptions!O16</f>
        <v>15615.854996748589</v>
      </c>
      <c r="R58" s="68">
        <f>(R53+R54)*Assumptions!P16+SUM(R8:R11)*Assumptions!P16</f>
        <v>16113.916427660266</v>
      </c>
      <c r="S58" s="68">
        <f>(S53+S54)*Assumptions!Q16+SUM(S8:S11)*Assumptions!Q16</f>
        <v>16209.507551118546</v>
      </c>
      <c r="T58" s="68">
        <f>(T53+T54)*Assumptions!R16+SUM(T8:T11)*Assumptions!R16</f>
        <v>15930.297937920965</v>
      </c>
      <c r="U58" s="68">
        <f>(U53+U54)*Assumptions!S16+SUM(U8:U11)*Assumptions!S16</f>
        <v>14915.913045415471</v>
      </c>
      <c r="V58" s="68">
        <f>(V53+V54)*Assumptions!T16+SUM(V8:V11)*Assumptions!T16</f>
        <v>13580.4018800749</v>
      </c>
      <c r="W58" s="68">
        <f>(W53+W54)*Assumptions!U16+SUM(W8:W11)*Assumptions!U16</f>
        <v>11944.572696891064</v>
      </c>
      <c r="X58" s="68">
        <f>(X53+X54)*Assumptions!V16+SUM(X8:X11)*Assumptions!V16</f>
        <v>9698.4539693052393</v>
      </c>
      <c r="Y58" s="69">
        <f>(Y53+Y54)*Assumptions!W16+SUM(Y8:Y11)*Assumptions!W16</f>
        <v>6880.7360756724283</v>
      </c>
    </row>
    <row r="59" spans="3:25" ht="27.6" x14ac:dyDescent="0.25">
      <c r="C59" s="115" t="s">
        <v>18</v>
      </c>
      <c r="D59" s="68"/>
      <c r="E59" s="68"/>
      <c r="F59" s="68">
        <v>0</v>
      </c>
      <c r="G59" s="68">
        <v>0</v>
      </c>
      <c r="H59" s="68">
        <v>0</v>
      </c>
      <c r="I59" s="68">
        <v>0</v>
      </c>
      <c r="J59" s="68">
        <v>0</v>
      </c>
      <c r="K59" s="68">
        <v>0</v>
      </c>
      <c r="L59" s="68">
        <v>0</v>
      </c>
      <c r="M59" s="68">
        <v>0</v>
      </c>
      <c r="N59" s="68">
        <v>0</v>
      </c>
      <c r="O59" s="68">
        <v>0</v>
      </c>
      <c r="P59" s="68">
        <v>0</v>
      </c>
      <c r="Q59" s="68">
        <v>0</v>
      </c>
      <c r="R59" s="68">
        <v>0</v>
      </c>
      <c r="S59" s="68">
        <v>0</v>
      </c>
      <c r="T59" s="68">
        <v>0</v>
      </c>
      <c r="U59" s="68">
        <v>0</v>
      </c>
      <c r="V59" s="68">
        <v>0</v>
      </c>
      <c r="W59" s="68">
        <v>0</v>
      </c>
      <c r="X59" s="68">
        <v>0</v>
      </c>
      <c r="Y59" s="69">
        <v>0</v>
      </c>
    </row>
    <row r="60" spans="3:25" ht="27.6" x14ac:dyDescent="0.25">
      <c r="C60" s="114" t="s">
        <v>33</v>
      </c>
      <c r="D60" s="68"/>
      <c r="E60" s="68"/>
      <c r="F60" s="68">
        <v>0</v>
      </c>
      <c r="G60" s="68">
        <v>0</v>
      </c>
      <c r="H60" s="68">
        <v>0</v>
      </c>
      <c r="I60" s="68">
        <v>0</v>
      </c>
      <c r="J60" s="68">
        <v>0</v>
      </c>
      <c r="K60" s="68">
        <v>0</v>
      </c>
      <c r="L60" s="68">
        <v>0</v>
      </c>
      <c r="M60" s="68">
        <v>0</v>
      </c>
      <c r="N60" s="68">
        <v>0</v>
      </c>
      <c r="O60" s="68">
        <v>0</v>
      </c>
      <c r="P60" s="68">
        <v>0</v>
      </c>
      <c r="Q60" s="68">
        <v>0</v>
      </c>
      <c r="R60" s="68">
        <v>0</v>
      </c>
      <c r="S60" s="68">
        <v>0</v>
      </c>
      <c r="T60" s="68">
        <v>0</v>
      </c>
      <c r="U60" s="68">
        <v>0</v>
      </c>
      <c r="V60" s="68">
        <v>0</v>
      </c>
      <c r="W60" s="68">
        <v>0</v>
      </c>
      <c r="X60" s="68">
        <v>0</v>
      </c>
      <c r="Y60" s="69">
        <v>0</v>
      </c>
    </row>
    <row r="61" spans="3:25" x14ac:dyDescent="0.25">
      <c r="C61" s="116" t="s">
        <v>66</v>
      </c>
      <c r="D61" s="70"/>
      <c r="E61" s="70"/>
      <c r="F61" s="70">
        <f>SUM(F53:F60)</f>
        <v>-778304.07858913904</v>
      </c>
      <c r="G61" s="70">
        <f>SUM(G53:G60)</f>
        <v>-618300.75373270467</v>
      </c>
      <c r="H61" s="70">
        <f t="shared" ref="H61:Y61" si="17">SUM(H53:H60)</f>
        <v>-479565.32767721289</v>
      </c>
      <c r="I61" s="70">
        <f t="shared" si="17"/>
        <v>-343535.59111784375</v>
      </c>
      <c r="J61" s="70">
        <f t="shared" si="17"/>
        <v>-226162.17008791681</v>
      </c>
      <c r="K61" s="70">
        <f t="shared" si="17"/>
        <v>-126164.78505550713</v>
      </c>
      <c r="L61" s="70">
        <f t="shared" si="17"/>
        <v>-27696.028923882568</v>
      </c>
      <c r="M61" s="70">
        <f t="shared" si="17"/>
        <v>55552.275463579135</v>
      </c>
      <c r="N61" s="70">
        <f t="shared" si="17"/>
        <v>124640.92343598969</v>
      </c>
      <c r="O61" s="70">
        <f t="shared" si="17"/>
        <v>180557.41186805346</v>
      </c>
      <c r="P61" s="70">
        <f t="shared" si="17"/>
        <v>224220.0307841074</v>
      </c>
      <c r="Q61" s="70">
        <f t="shared" si="17"/>
        <v>245196.41301100462</v>
      </c>
      <c r="R61" s="70">
        <f t="shared" si="17"/>
        <v>255689.47807823948</v>
      </c>
      <c r="S61" s="70">
        <f t="shared" si="17"/>
        <v>256410.97059933568</v>
      </c>
      <c r="T61" s="70">
        <f t="shared" si="17"/>
        <v>238384.81119147554</v>
      </c>
      <c r="U61" s="70">
        <f t="shared" si="17"/>
        <v>211964.80623205582</v>
      </c>
      <c r="V61" s="70">
        <f t="shared" si="17"/>
        <v>177688.67464841341</v>
      </c>
      <c r="W61" s="70">
        <f t="shared" si="17"/>
        <v>127835.93244728609</v>
      </c>
      <c r="X61" s="70">
        <f t="shared" si="17"/>
        <v>63387.894404339371</v>
      </c>
      <c r="Y61" s="71">
        <f t="shared" si="17"/>
        <v>6.0208549257367849E-10</v>
      </c>
    </row>
    <row r="63" spans="3:25" ht="27.6" x14ac:dyDescent="0.25">
      <c r="C63" s="107" t="s">
        <v>23</v>
      </c>
    </row>
    <row r="64" spans="3:25" ht="27.6" x14ac:dyDescent="0.25">
      <c r="C64" s="117" t="s">
        <v>37</v>
      </c>
      <c r="D64" s="66"/>
      <c r="E64" s="66"/>
      <c r="F64" s="66">
        <v>0</v>
      </c>
      <c r="G64" s="66">
        <f>F72</f>
        <v>164524.12967923257</v>
      </c>
      <c r="H64" s="66">
        <f t="shared" ref="H64:Y64" si="18">G72</f>
        <v>163508.29486640188</v>
      </c>
      <c r="I64" s="66">
        <f t="shared" si="18"/>
        <v>161031.22506105795</v>
      </c>
      <c r="J64" s="66">
        <f t="shared" si="18"/>
        <v>158910.45124430026</v>
      </c>
      <c r="K64" s="66">
        <f t="shared" si="18"/>
        <v>155511.30049387578</v>
      </c>
      <c r="L64" s="66">
        <f t="shared" si="18"/>
        <v>150926.1593249065</v>
      </c>
      <c r="M64" s="66">
        <f t="shared" si="18"/>
        <v>146705.4560838468</v>
      </c>
      <c r="N64" s="66">
        <f t="shared" si="18"/>
        <v>141444.89523163115</v>
      </c>
      <c r="O64" s="66">
        <f t="shared" si="18"/>
        <v>135218.82428369249</v>
      </c>
      <c r="P64" s="66">
        <f t="shared" si="18"/>
        <v>128095.37954474882</v>
      </c>
      <c r="Q64" s="66">
        <f t="shared" si="18"/>
        <v>120136.83353676563</v>
      </c>
      <c r="R64" s="66">
        <f t="shared" si="18"/>
        <v>110271.3902483558</v>
      </c>
      <c r="S64" s="66">
        <f t="shared" si="18"/>
        <v>99693.308897155715</v>
      </c>
      <c r="T64" s="66">
        <f t="shared" si="18"/>
        <v>88446.928108757638</v>
      </c>
      <c r="U64" s="66">
        <f t="shared" si="18"/>
        <v>75608.641406773793</v>
      </c>
      <c r="V64" s="66">
        <f t="shared" si="18"/>
        <v>62189.969956148969</v>
      </c>
      <c r="W64" s="66">
        <f t="shared" si="18"/>
        <v>48220.1183324831</v>
      </c>
      <c r="X64" s="66">
        <f t="shared" si="18"/>
        <v>32903.160768661022</v>
      </c>
      <c r="Y64" s="67">
        <f t="shared" si="18"/>
        <v>16315.147395924054</v>
      </c>
    </row>
    <row r="65" spans="3:25" ht="27.6" x14ac:dyDescent="0.25">
      <c r="C65" s="118" t="s">
        <v>27</v>
      </c>
      <c r="D65" s="68"/>
      <c r="E65" s="68"/>
      <c r="F65" s="68">
        <f>-E47</f>
        <v>165888.58623003133</v>
      </c>
      <c r="G65" s="68">
        <v>0</v>
      </c>
      <c r="H65" s="68">
        <v>0</v>
      </c>
      <c r="I65" s="68">
        <v>0</v>
      </c>
      <c r="J65" s="68">
        <v>0</v>
      </c>
      <c r="K65" s="68">
        <v>0</v>
      </c>
      <c r="L65" s="68">
        <v>0</v>
      </c>
      <c r="M65" s="68">
        <v>0</v>
      </c>
      <c r="N65" s="68">
        <v>0</v>
      </c>
      <c r="O65" s="68">
        <v>0</v>
      </c>
      <c r="P65" s="68">
        <v>0</v>
      </c>
      <c r="Q65" s="68">
        <v>0</v>
      </c>
      <c r="R65" s="68">
        <v>0</v>
      </c>
      <c r="S65" s="68">
        <v>0</v>
      </c>
      <c r="T65" s="68">
        <v>0</v>
      </c>
      <c r="U65" s="68">
        <v>0</v>
      </c>
      <c r="V65" s="68">
        <v>0</v>
      </c>
      <c r="W65" s="68">
        <v>0</v>
      </c>
      <c r="X65" s="68">
        <v>0</v>
      </c>
      <c r="Y65" s="69">
        <v>0</v>
      </c>
    </row>
    <row r="66" spans="3:25" ht="27.6" x14ac:dyDescent="0.25">
      <c r="C66" s="119" t="s">
        <v>32</v>
      </c>
      <c r="D66" s="68"/>
      <c r="E66" s="68"/>
      <c r="F66" s="68">
        <v>0</v>
      </c>
      <c r="G66" s="68">
        <v>0</v>
      </c>
      <c r="H66" s="68">
        <v>0</v>
      </c>
      <c r="I66" s="68">
        <v>0</v>
      </c>
      <c r="J66" s="68">
        <v>0</v>
      </c>
      <c r="K66" s="68">
        <v>0</v>
      </c>
      <c r="L66" s="68">
        <v>0</v>
      </c>
      <c r="M66" s="68">
        <v>0</v>
      </c>
      <c r="N66" s="68">
        <v>0</v>
      </c>
      <c r="O66" s="68">
        <v>0</v>
      </c>
      <c r="P66" s="68">
        <v>0</v>
      </c>
      <c r="Q66" s="68">
        <v>0</v>
      </c>
      <c r="R66" s="68">
        <v>0</v>
      </c>
      <c r="S66" s="68">
        <v>0</v>
      </c>
      <c r="T66" s="68">
        <v>0</v>
      </c>
      <c r="U66" s="68">
        <v>0</v>
      </c>
      <c r="V66" s="68">
        <v>0</v>
      </c>
      <c r="W66" s="68">
        <v>0</v>
      </c>
      <c r="X66" s="68">
        <v>0</v>
      </c>
      <c r="Y66" s="69">
        <v>0</v>
      </c>
    </row>
    <row r="67" spans="3:25" ht="27.6" x14ac:dyDescent="0.25">
      <c r="C67" s="120" t="s">
        <v>30</v>
      </c>
      <c r="D67" s="68"/>
      <c r="E67" s="68"/>
      <c r="F67" s="68">
        <v>0</v>
      </c>
      <c r="G67" s="68">
        <v>0</v>
      </c>
      <c r="H67" s="68">
        <v>0</v>
      </c>
      <c r="I67" s="68">
        <v>0</v>
      </c>
      <c r="J67" s="68">
        <v>0</v>
      </c>
      <c r="K67" s="68">
        <v>0</v>
      </c>
      <c r="L67" s="68">
        <v>0</v>
      </c>
      <c r="M67" s="68">
        <v>0</v>
      </c>
      <c r="N67" s="68">
        <v>0</v>
      </c>
      <c r="O67" s="68">
        <v>0</v>
      </c>
      <c r="P67" s="68">
        <v>0</v>
      </c>
      <c r="Q67" s="68">
        <v>0</v>
      </c>
      <c r="R67" s="68">
        <v>0</v>
      </c>
      <c r="S67" s="68">
        <v>0</v>
      </c>
      <c r="T67" s="68">
        <v>0</v>
      </c>
      <c r="U67" s="68">
        <v>0</v>
      </c>
      <c r="V67" s="68">
        <v>0</v>
      </c>
      <c r="W67" s="68">
        <v>0</v>
      </c>
      <c r="X67" s="68">
        <v>0</v>
      </c>
      <c r="Y67" s="69">
        <v>0</v>
      </c>
    </row>
    <row r="68" spans="3:25" ht="27.6" x14ac:dyDescent="0.25">
      <c r="C68" s="119" t="s">
        <v>31</v>
      </c>
      <c r="D68" s="68"/>
      <c r="E68" s="68"/>
      <c r="F68" s="68">
        <v>0</v>
      </c>
      <c r="G68" s="68">
        <v>0</v>
      </c>
      <c r="H68" s="68">
        <v>0</v>
      </c>
      <c r="I68" s="68">
        <v>0</v>
      </c>
      <c r="J68" s="68">
        <v>0</v>
      </c>
      <c r="K68" s="68">
        <v>0</v>
      </c>
      <c r="L68" s="68">
        <v>0</v>
      </c>
      <c r="M68" s="68">
        <v>0</v>
      </c>
      <c r="N68" s="68">
        <v>0</v>
      </c>
      <c r="O68" s="68">
        <v>0</v>
      </c>
      <c r="P68" s="68">
        <v>0</v>
      </c>
      <c r="Q68" s="68">
        <v>0</v>
      </c>
      <c r="R68" s="68">
        <v>0</v>
      </c>
      <c r="S68" s="68">
        <v>0</v>
      </c>
      <c r="T68" s="68">
        <v>0</v>
      </c>
      <c r="U68" s="68">
        <v>0</v>
      </c>
      <c r="V68" s="68">
        <v>0</v>
      </c>
      <c r="W68" s="68">
        <v>0</v>
      </c>
      <c r="X68" s="68">
        <v>0</v>
      </c>
      <c r="Y68" s="69">
        <v>0</v>
      </c>
    </row>
    <row r="69" spans="3:25" ht="27.6" x14ac:dyDescent="0.25">
      <c r="C69" s="120" t="s">
        <v>29</v>
      </c>
      <c r="D69" s="68"/>
      <c r="E69" s="68"/>
      <c r="F69" s="68">
        <f>(F64+F65)*Assumptions!D16</f>
        <v>6635.5434492012537</v>
      </c>
      <c r="G69" s="68">
        <f>(G64+G65)*Assumptions!E16</f>
        <v>6580.9651871693031</v>
      </c>
      <c r="H69" s="68">
        <f>(H64+H65)*Assumptions!F16</f>
        <v>6540.3317946560755</v>
      </c>
      <c r="I69" s="68">
        <f>(I64+I65)*Assumptions!G16</f>
        <v>6441.2490024423178</v>
      </c>
      <c r="J69" s="68">
        <f>(J64+J65)*Assumptions!H16</f>
        <v>6356.4180497720108</v>
      </c>
      <c r="K69" s="68">
        <f>(K64+K65)*Assumptions!I16</f>
        <v>6220.452019755031</v>
      </c>
      <c r="L69" s="68">
        <f>(L64+L65)*Assumptions!J16</f>
        <v>6037.0463729962603</v>
      </c>
      <c r="M69" s="68">
        <f>(M64+M65)*Assumptions!K16</f>
        <v>5868.2182433538719</v>
      </c>
      <c r="N69" s="68">
        <f>(N64+N65)*Assumptions!L16</f>
        <v>5657.7958092652461</v>
      </c>
      <c r="O69" s="68">
        <f>(O64+O65)*Assumptions!M16</f>
        <v>5408.7529713476997</v>
      </c>
      <c r="P69" s="68">
        <f>(P64+P65)*Assumptions!N16</f>
        <v>5123.8151817899534</v>
      </c>
      <c r="Q69" s="68">
        <f>(Q64+Q65)*Assumptions!O16</f>
        <v>4805.4733414706252</v>
      </c>
      <c r="R69" s="68">
        <f>(R64+R65)*Assumptions!P16</f>
        <v>4410.8556099342322</v>
      </c>
      <c r="S69" s="68">
        <f>(S64+S65)*Assumptions!Q16</f>
        <v>3987.7323558862286</v>
      </c>
      <c r="T69" s="68">
        <f>(T64+T65)*Assumptions!R16</f>
        <v>3537.8771243503056</v>
      </c>
      <c r="U69" s="68">
        <f>(U64+U65)*Assumptions!S16</f>
        <v>3024.3456562709516</v>
      </c>
      <c r="V69" s="68">
        <f>(V64+V65)*Assumptions!T16</f>
        <v>2487.5987982459587</v>
      </c>
      <c r="W69" s="68">
        <f>(W64+W65)*Assumptions!U16</f>
        <v>1928.804733299324</v>
      </c>
      <c r="X69" s="68">
        <f>(X64+X65)*Assumptions!V16</f>
        <v>1316.126430746441</v>
      </c>
      <c r="Y69" s="69">
        <f>(Y64+Y65)*Assumptions!W16</f>
        <v>652.60589583696219</v>
      </c>
    </row>
    <row r="70" spans="3:25" ht="27.6" x14ac:dyDescent="0.25">
      <c r="C70" s="120" t="s">
        <v>18</v>
      </c>
      <c r="D70" s="68"/>
      <c r="E70" s="68"/>
      <c r="F70" s="68">
        <v>0</v>
      </c>
      <c r="G70" s="68">
        <v>0</v>
      </c>
      <c r="H70" s="68">
        <v>0</v>
      </c>
      <c r="I70" s="68">
        <v>0</v>
      </c>
      <c r="J70" s="68">
        <v>0</v>
      </c>
      <c r="K70" s="68">
        <v>0</v>
      </c>
      <c r="L70" s="68">
        <v>0</v>
      </c>
      <c r="M70" s="68">
        <v>0</v>
      </c>
      <c r="N70" s="68">
        <v>0</v>
      </c>
      <c r="O70" s="68">
        <v>0</v>
      </c>
      <c r="P70" s="68">
        <v>0</v>
      </c>
      <c r="Q70" s="68">
        <v>0</v>
      </c>
      <c r="R70" s="68">
        <v>0</v>
      </c>
      <c r="S70" s="68">
        <v>0</v>
      </c>
      <c r="T70" s="68">
        <v>0</v>
      </c>
      <c r="U70" s="68">
        <v>0</v>
      </c>
      <c r="V70" s="68">
        <v>0</v>
      </c>
      <c r="W70" s="68">
        <v>0</v>
      </c>
      <c r="X70" s="68">
        <v>0</v>
      </c>
      <c r="Y70" s="69">
        <v>0</v>
      </c>
    </row>
    <row r="71" spans="3:25" ht="27.6" x14ac:dyDescent="0.25">
      <c r="C71" s="119" t="s">
        <v>33</v>
      </c>
      <c r="D71" s="68"/>
      <c r="E71" s="68"/>
      <c r="F71" s="68">
        <f>F30</f>
        <v>-8000</v>
      </c>
      <c r="G71" s="68">
        <f>G30</f>
        <v>-7596.8</v>
      </c>
      <c r="H71" s="68">
        <f t="shared" ref="H71:Y71" si="19">H30</f>
        <v>-9017.4016000000029</v>
      </c>
      <c r="I71" s="68">
        <f t="shared" si="19"/>
        <v>-8562.0228192000013</v>
      </c>
      <c r="J71" s="68">
        <f t="shared" si="19"/>
        <v>-9755.5688001964809</v>
      </c>
      <c r="K71" s="68">
        <f t="shared" si="19"/>
        <v>-10805.593188724297</v>
      </c>
      <c r="L71" s="68">
        <f t="shared" si="19"/>
        <v>-10257.749614055976</v>
      </c>
      <c r="M71" s="68">
        <f t="shared" si="19"/>
        <v>-11128.779095569529</v>
      </c>
      <c r="N71" s="68">
        <f t="shared" si="19"/>
        <v>-11883.866757203921</v>
      </c>
      <c r="O71" s="68">
        <f t="shared" si="19"/>
        <v>-12532.197710291379</v>
      </c>
      <c r="P71" s="68">
        <f t="shared" si="19"/>
        <v>-13082.361189773168</v>
      </c>
      <c r="Q71" s="68">
        <f t="shared" si="19"/>
        <v>-14670.916629880447</v>
      </c>
      <c r="R71" s="68">
        <f t="shared" si="19"/>
        <v>-14988.936961134321</v>
      </c>
      <c r="S71" s="68">
        <f t="shared" si="19"/>
        <v>-15234.113144284302</v>
      </c>
      <c r="T71" s="68">
        <f t="shared" si="19"/>
        <v>-16376.163826334148</v>
      </c>
      <c r="U71" s="68">
        <f t="shared" si="19"/>
        <v>-16443.017106895768</v>
      </c>
      <c r="V71" s="68">
        <f t="shared" si="19"/>
        <v>-16457.450421911824</v>
      </c>
      <c r="W71" s="68">
        <f t="shared" si="19"/>
        <v>-17245.7622971214</v>
      </c>
      <c r="X71" s="68">
        <f t="shared" si="19"/>
        <v>-17904.139803483413</v>
      </c>
      <c r="Y71" s="69">
        <f t="shared" si="19"/>
        <v>-16967.75329176123</v>
      </c>
    </row>
    <row r="72" spans="3:25" ht="27.6" x14ac:dyDescent="0.25">
      <c r="C72" s="121" t="s">
        <v>38</v>
      </c>
      <c r="D72" s="70"/>
      <c r="E72" s="70"/>
      <c r="F72" s="70">
        <f>SUM(F64:F71)</f>
        <v>164524.12967923257</v>
      </c>
      <c r="G72" s="70">
        <f>SUM(G64:G71)</f>
        <v>163508.29486640188</v>
      </c>
      <c r="H72" s="70">
        <f t="shared" ref="H72:Y72" si="20">SUM(H64:H71)</f>
        <v>161031.22506105795</v>
      </c>
      <c r="I72" s="70">
        <f t="shared" si="20"/>
        <v>158910.45124430026</v>
      </c>
      <c r="J72" s="70">
        <f t="shared" si="20"/>
        <v>155511.30049387578</v>
      </c>
      <c r="K72" s="70">
        <f t="shared" si="20"/>
        <v>150926.1593249065</v>
      </c>
      <c r="L72" s="70">
        <f t="shared" si="20"/>
        <v>146705.4560838468</v>
      </c>
      <c r="M72" s="70">
        <f t="shared" si="20"/>
        <v>141444.89523163115</v>
      </c>
      <c r="N72" s="70">
        <f t="shared" si="20"/>
        <v>135218.82428369249</v>
      </c>
      <c r="O72" s="70">
        <f t="shared" si="20"/>
        <v>128095.37954474882</v>
      </c>
      <c r="P72" s="70">
        <f t="shared" si="20"/>
        <v>120136.83353676563</v>
      </c>
      <c r="Q72" s="70">
        <f t="shared" si="20"/>
        <v>110271.3902483558</v>
      </c>
      <c r="R72" s="70">
        <f t="shared" si="20"/>
        <v>99693.308897155715</v>
      </c>
      <c r="S72" s="70">
        <f t="shared" si="20"/>
        <v>88446.928108757638</v>
      </c>
      <c r="T72" s="70">
        <f t="shared" si="20"/>
        <v>75608.641406773793</v>
      </c>
      <c r="U72" s="70">
        <f t="shared" si="20"/>
        <v>62189.969956148969</v>
      </c>
      <c r="V72" s="70">
        <f t="shared" si="20"/>
        <v>48220.1183324831</v>
      </c>
      <c r="W72" s="70">
        <f t="shared" si="20"/>
        <v>32903.160768661022</v>
      </c>
      <c r="X72" s="70">
        <f t="shared" si="20"/>
        <v>16315.147395924054</v>
      </c>
      <c r="Y72" s="71">
        <f t="shared" si="20"/>
        <v>-2.1464074961841106E-10</v>
      </c>
    </row>
    <row r="74" spans="3:25" ht="27.6" x14ac:dyDescent="0.25">
      <c r="C74" s="107" t="s">
        <v>71</v>
      </c>
    </row>
    <row r="75" spans="3:25" x14ac:dyDescent="0.25">
      <c r="C75" s="122" t="s">
        <v>69</v>
      </c>
      <c r="D75" s="66"/>
      <c r="E75" s="66"/>
      <c r="F75" s="66">
        <v>0</v>
      </c>
      <c r="G75" s="66">
        <f>F83</f>
        <v>482587.41204315668</v>
      </c>
      <c r="H75" s="66">
        <f t="shared" ref="H75:Y75" si="21">G83</f>
        <v>461328.32827587076</v>
      </c>
      <c r="I75" s="66">
        <f t="shared" si="21"/>
        <v>439722.50615426514</v>
      </c>
      <c r="J75" s="66">
        <f t="shared" si="21"/>
        <v>417753.98926755827</v>
      </c>
      <c r="K75" s="66">
        <f t="shared" si="21"/>
        <v>395401.99056788679</v>
      </c>
      <c r="L75" s="66">
        <f t="shared" si="21"/>
        <v>372649.03260623367</v>
      </c>
      <c r="M75" s="66">
        <f t="shared" si="21"/>
        <v>349476.86303648824</v>
      </c>
      <c r="N75" s="66">
        <f t="shared" si="21"/>
        <v>325862.46513371717</v>
      </c>
      <c r="O75" s="66">
        <f t="shared" si="21"/>
        <v>301785.89075298305</v>
      </c>
      <c r="P75" s="66">
        <f t="shared" si="21"/>
        <v>277226.32223716751</v>
      </c>
      <c r="Q75" s="66">
        <f t="shared" si="21"/>
        <v>252162.03927478232</v>
      </c>
      <c r="R75" s="66">
        <f t="shared" si="21"/>
        <v>226570.38444033873</v>
      </c>
      <c r="S75" s="66">
        <f t="shared" si="21"/>
        <v>200431.43788980276</v>
      </c>
      <c r="T75" s="66">
        <f t="shared" si="21"/>
        <v>173720.60838575053</v>
      </c>
      <c r="U75" s="66">
        <f t="shared" si="21"/>
        <v>146412.25856152258</v>
      </c>
      <c r="V75" s="66">
        <f t="shared" si="21"/>
        <v>118483.22751815568</v>
      </c>
      <c r="W75" s="66">
        <f t="shared" si="21"/>
        <v>89905.707985718298</v>
      </c>
      <c r="X75" s="66">
        <f t="shared" si="21"/>
        <v>60650.723948480525</v>
      </c>
      <c r="Y75" s="67">
        <f t="shared" si="21"/>
        <v>30691.502145820195</v>
      </c>
    </row>
    <row r="76" spans="3:25" ht="27.6" x14ac:dyDescent="0.25">
      <c r="C76" s="118" t="s">
        <v>27</v>
      </c>
      <c r="D76" s="68"/>
      <c r="E76" s="68"/>
      <c r="F76" s="68">
        <f>E49</f>
        <v>503519.18164414086</v>
      </c>
      <c r="G76" s="68">
        <v>0</v>
      </c>
      <c r="H76" s="68">
        <v>0</v>
      </c>
      <c r="I76" s="68">
        <v>0</v>
      </c>
      <c r="J76" s="68">
        <v>0</v>
      </c>
      <c r="K76" s="68">
        <v>0</v>
      </c>
      <c r="L76" s="68">
        <v>0</v>
      </c>
      <c r="M76" s="68">
        <v>0</v>
      </c>
      <c r="N76" s="68">
        <v>0</v>
      </c>
      <c r="O76" s="68">
        <v>0</v>
      </c>
      <c r="P76" s="68">
        <v>0</v>
      </c>
      <c r="Q76" s="68">
        <v>0</v>
      </c>
      <c r="R76" s="68">
        <v>0</v>
      </c>
      <c r="S76" s="68">
        <v>0</v>
      </c>
      <c r="T76" s="68">
        <v>0</v>
      </c>
      <c r="U76" s="68">
        <v>0</v>
      </c>
      <c r="V76" s="68">
        <v>0</v>
      </c>
      <c r="W76" s="68">
        <v>0</v>
      </c>
      <c r="X76" s="68">
        <v>0</v>
      </c>
      <c r="Y76" s="69">
        <v>0</v>
      </c>
    </row>
    <row r="77" spans="3:25" ht="27.6" x14ac:dyDescent="0.25">
      <c r="C77" s="119" t="s">
        <v>32</v>
      </c>
      <c r="D77" s="68"/>
      <c r="E77" s="68"/>
      <c r="F77" s="68">
        <v>0</v>
      </c>
      <c r="G77" s="68">
        <v>0</v>
      </c>
      <c r="H77" s="68">
        <v>0</v>
      </c>
      <c r="I77" s="68">
        <v>0</v>
      </c>
      <c r="J77" s="68">
        <v>0</v>
      </c>
      <c r="K77" s="68">
        <v>0</v>
      </c>
      <c r="L77" s="68">
        <v>0</v>
      </c>
      <c r="M77" s="68">
        <v>0</v>
      </c>
      <c r="N77" s="68">
        <v>0</v>
      </c>
      <c r="O77" s="68">
        <v>0</v>
      </c>
      <c r="P77" s="68">
        <v>0</v>
      </c>
      <c r="Q77" s="68">
        <v>0</v>
      </c>
      <c r="R77" s="68">
        <v>0</v>
      </c>
      <c r="S77" s="68">
        <v>0</v>
      </c>
      <c r="T77" s="68">
        <v>0</v>
      </c>
      <c r="U77" s="68">
        <v>0</v>
      </c>
      <c r="V77" s="68">
        <v>0</v>
      </c>
      <c r="W77" s="68">
        <v>0</v>
      </c>
      <c r="X77" s="68">
        <v>0</v>
      </c>
      <c r="Y77" s="69">
        <v>0</v>
      </c>
    </row>
    <row r="78" spans="3:25" ht="27.6" x14ac:dyDescent="0.25">
      <c r="C78" s="120" t="s">
        <v>30</v>
      </c>
      <c r="D78" s="68"/>
      <c r="E78" s="68"/>
      <c r="F78" s="68">
        <v>0</v>
      </c>
      <c r="G78" s="68">
        <v>0</v>
      </c>
      <c r="H78" s="68">
        <v>0</v>
      </c>
      <c r="I78" s="68">
        <v>0</v>
      </c>
      <c r="J78" s="68">
        <v>0</v>
      </c>
      <c r="K78" s="68">
        <v>0</v>
      </c>
      <c r="L78" s="68">
        <v>0</v>
      </c>
      <c r="M78" s="68">
        <v>0</v>
      </c>
      <c r="N78" s="68">
        <v>0</v>
      </c>
      <c r="O78" s="68">
        <v>0</v>
      </c>
      <c r="P78" s="68">
        <v>0</v>
      </c>
      <c r="Q78" s="68">
        <v>0</v>
      </c>
      <c r="R78" s="68">
        <v>0</v>
      </c>
      <c r="S78" s="68">
        <v>0</v>
      </c>
      <c r="T78" s="68">
        <v>0</v>
      </c>
      <c r="U78" s="68">
        <v>0</v>
      </c>
      <c r="V78" s="68">
        <v>0</v>
      </c>
      <c r="W78" s="68">
        <v>0</v>
      </c>
      <c r="X78" s="68">
        <v>0</v>
      </c>
      <c r="Y78" s="69">
        <v>0</v>
      </c>
    </row>
    <row r="79" spans="3:25" ht="27.6" x14ac:dyDescent="0.25">
      <c r="C79" s="119" t="s">
        <v>31</v>
      </c>
      <c r="D79" s="68"/>
      <c r="E79" s="68"/>
      <c r="F79" s="68">
        <v>0</v>
      </c>
      <c r="G79" s="68">
        <v>0</v>
      </c>
      <c r="H79" s="68">
        <v>0</v>
      </c>
      <c r="I79" s="68">
        <v>0</v>
      </c>
      <c r="J79" s="68">
        <v>0</v>
      </c>
      <c r="K79" s="68">
        <v>0</v>
      </c>
      <c r="L79" s="68">
        <v>0</v>
      </c>
      <c r="M79" s="68">
        <v>0</v>
      </c>
      <c r="N79" s="68">
        <v>0</v>
      </c>
      <c r="O79" s="68">
        <v>0</v>
      </c>
      <c r="P79" s="68">
        <v>0</v>
      </c>
      <c r="Q79" s="68">
        <v>0</v>
      </c>
      <c r="R79" s="68">
        <v>0</v>
      </c>
      <c r="S79" s="68">
        <v>0</v>
      </c>
      <c r="T79" s="68">
        <v>0</v>
      </c>
      <c r="U79" s="68">
        <v>0</v>
      </c>
      <c r="V79" s="68">
        <v>0</v>
      </c>
      <c r="W79" s="68">
        <v>0</v>
      </c>
      <c r="X79" s="68">
        <v>0</v>
      </c>
      <c r="Y79" s="69">
        <v>0</v>
      </c>
    </row>
    <row r="80" spans="3:25" ht="27.6" x14ac:dyDescent="0.25">
      <c r="C80" s="120" t="s">
        <v>29</v>
      </c>
      <c r="D80" s="68"/>
      <c r="E80" s="68"/>
      <c r="F80" s="68">
        <f>(F75+F76)*Assumptions!D18</f>
        <v>20140.767265765633</v>
      </c>
      <c r="G80" s="68">
        <f>(G75+G76)*Assumptions!E18</f>
        <v>19303.496481726266</v>
      </c>
      <c r="H80" s="68">
        <f>(H75+H76)*Assumptions!F18</f>
        <v>18453.133131034832</v>
      </c>
      <c r="I80" s="68">
        <f>(I75+I76)*Assumptions!G18</f>
        <v>17588.900246170608</v>
      </c>
      <c r="J80" s="68">
        <f>(J75+J76)*Assumptions!H18</f>
        <v>16710.15957070233</v>
      </c>
      <c r="K80" s="68">
        <f>(K75+K76)*Assumptions!I18</f>
        <v>15816.079622715471</v>
      </c>
      <c r="L80" s="68">
        <f>(L75+L76)*Assumptions!J18</f>
        <v>14905.961304249347</v>
      </c>
      <c r="M80" s="68">
        <f>(M75+M76)*Assumptions!K18</f>
        <v>13979.07452145953</v>
      </c>
      <c r="N80" s="68">
        <f>(N75+N76)*Assumptions!L18</f>
        <v>13034.498605348686</v>
      </c>
      <c r="O80" s="68">
        <f>(O75+O76)*Assumptions!M18</f>
        <v>12071.435630119322</v>
      </c>
      <c r="P80" s="68">
        <f>(P75+P76)*Assumptions!N18</f>
        <v>11089.0528894867</v>
      </c>
      <c r="Q80" s="68">
        <f>(Q75+Q76)*Assumptions!O18</f>
        <v>10086.481570991293</v>
      </c>
      <c r="R80" s="68">
        <f>(R75+R76)*Assumptions!P18</f>
        <v>9062.8153776135496</v>
      </c>
      <c r="S80" s="68">
        <f>(S75+S76)*Assumptions!Q18</f>
        <v>8017.2575155921104</v>
      </c>
      <c r="T80" s="68">
        <f>(T75+T76)*Assumptions!R18</f>
        <v>6948.8243354300212</v>
      </c>
      <c r="U80" s="68">
        <f>(U75+U76)*Assumptions!S18</f>
        <v>5856.4903424609038</v>
      </c>
      <c r="V80" s="68">
        <f>(V75+V76)*Assumptions!T18</f>
        <v>4739.3291007262269</v>
      </c>
      <c r="W80" s="68">
        <f>(W75+W76)*Assumptions!U18</f>
        <v>3596.228319428732</v>
      </c>
      <c r="X80" s="68">
        <f>(X75+X76)*Assumptions!V18</f>
        <v>2426.0289579392211</v>
      </c>
      <c r="Y80" s="69">
        <f>(Y75+Y76)*Assumptions!W18</f>
        <v>1227.6600858328079</v>
      </c>
    </row>
    <row r="81" spans="3:25" ht="27.6" x14ac:dyDescent="0.25">
      <c r="C81" s="120" t="s">
        <v>18</v>
      </c>
      <c r="D81" s="68"/>
      <c r="E81" s="68"/>
      <c r="F81" s="68">
        <v>0</v>
      </c>
      <c r="G81" s="68">
        <v>0</v>
      </c>
      <c r="H81" s="68">
        <v>0</v>
      </c>
      <c r="I81" s="68">
        <v>0</v>
      </c>
      <c r="J81" s="68">
        <v>0</v>
      </c>
      <c r="K81" s="68">
        <v>0</v>
      </c>
      <c r="L81" s="68">
        <v>0</v>
      </c>
      <c r="M81" s="68">
        <v>0</v>
      </c>
      <c r="N81" s="68">
        <v>0</v>
      </c>
      <c r="O81" s="68">
        <v>0</v>
      </c>
      <c r="P81" s="68">
        <v>0</v>
      </c>
      <c r="Q81" s="68">
        <v>0</v>
      </c>
      <c r="R81" s="68">
        <v>0</v>
      </c>
      <c r="S81" s="68">
        <v>0</v>
      </c>
      <c r="T81" s="68">
        <v>0</v>
      </c>
      <c r="U81" s="68">
        <v>0</v>
      </c>
      <c r="V81" s="68">
        <v>0</v>
      </c>
      <c r="W81" s="68">
        <v>0</v>
      </c>
      <c r="X81" s="68">
        <v>0</v>
      </c>
      <c r="Y81" s="69">
        <v>0</v>
      </c>
    </row>
    <row r="82" spans="3:25" ht="27.6" x14ac:dyDescent="0.25">
      <c r="C82" s="119" t="s">
        <v>33</v>
      </c>
      <c r="D82" s="68"/>
      <c r="E82" s="68"/>
      <c r="F82" s="68">
        <f>-SUM(F75:F81)*F36/SUM(F36:$Y$36)</f>
        <v>-41072.53686674979</v>
      </c>
      <c r="G82" s="68">
        <f>-SUM(G75:G81)*G36/SUM(G36:$Y$36)</f>
        <v>-40562.580249012222</v>
      </c>
      <c r="H82" s="68">
        <f>-SUM(H75:H81)*H36/SUM(H36:$Y$36)</f>
        <v>-40058.955252640495</v>
      </c>
      <c r="I82" s="68">
        <f>-SUM(I75:I81)*I36/SUM(I36:$Y$36)</f>
        <v>-39557.417132877446</v>
      </c>
      <c r="J82" s="68">
        <f>-SUM(J75:J81)*J36/SUM(J36:$Y$36)</f>
        <v>-39062.15827037381</v>
      </c>
      <c r="K82" s="68">
        <f>-SUM(K75:K81)*K36/SUM(K36:$Y$36)</f>
        <v>-38569.03758436862</v>
      </c>
      <c r="L82" s="68">
        <f>-SUM(L75:L81)*L36/SUM(L36:$Y$36)</f>
        <v>-38078.130873994785</v>
      </c>
      <c r="M82" s="68">
        <f>-SUM(M75:M81)*M36/SUM(M36:$Y$36)</f>
        <v>-37593.472424230575</v>
      </c>
      <c r="N82" s="68">
        <f>-SUM(N75:N81)*N36/SUM(N36:$Y$36)</f>
        <v>-37111.072986082843</v>
      </c>
      <c r="O82" s="68">
        <f>-SUM(O75:O81)*O36/SUM(O36:$Y$36)</f>
        <v>-36631.004145934879</v>
      </c>
      <c r="P82" s="68">
        <f>-SUM(P75:P81)*P36/SUM(P36:$Y$36)</f>
        <v>-36153.335851871896</v>
      </c>
      <c r="Q82" s="68">
        <f>-SUM(Q75:Q81)*Q36/SUM(Q36:$Y$36)</f>
        <v>-35678.136405434896</v>
      </c>
      <c r="R82" s="68">
        <f>-SUM(R75:R81)*R36/SUM(R36:$Y$36)</f>
        <v>-35201.761928149528</v>
      </c>
      <c r="S82" s="68">
        <f>-SUM(S75:S81)*S36/SUM(S36:$Y$36)</f>
        <v>-34728.087019644357</v>
      </c>
      <c r="T82" s="68">
        <f>-SUM(T75:T81)*T36/SUM(T36:$Y$36)</f>
        <v>-34257.174159657974</v>
      </c>
      <c r="U82" s="68">
        <f>-SUM(U75:U81)*U36/SUM(U36:$Y$36)</f>
        <v>-33785.5213858278</v>
      </c>
      <c r="V82" s="68">
        <f>-SUM(V75:V81)*V36/SUM(V36:$Y$36)</f>
        <v>-33316.848633163601</v>
      </c>
      <c r="W82" s="68">
        <f>-SUM(W75:W81)*W36/SUM(W36:$Y$36)</f>
        <v>-32851.212356666503</v>
      </c>
      <c r="X82" s="68">
        <f>-SUM(X75:X81)*X36/SUM(X36:$Y$36)</f>
        <v>-32385.250760599549</v>
      </c>
      <c r="Y82" s="69">
        <f>-SUM(Y75:Y81)*Y36/SUM(Y36:$Y$36)</f>
        <v>-31919.162231653005</v>
      </c>
    </row>
    <row r="83" spans="3:25" x14ac:dyDescent="0.25">
      <c r="C83" s="123" t="s">
        <v>70</v>
      </c>
      <c r="D83" s="70"/>
      <c r="E83" s="70"/>
      <c r="F83" s="70">
        <f>SUM(F75:F82)</f>
        <v>482587.41204315668</v>
      </c>
      <c r="G83" s="70">
        <f>SUM(G75:G82)</f>
        <v>461328.32827587076</v>
      </c>
      <c r="H83" s="70">
        <f t="shared" ref="H83:Y83" si="22">SUM(H75:H82)</f>
        <v>439722.50615426514</v>
      </c>
      <c r="I83" s="70">
        <f t="shared" si="22"/>
        <v>417753.98926755827</v>
      </c>
      <c r="J83" s="70">
        <f t="shared" si="22"/>
        <v>395401.99056788679</v>
      </c>
      <c r="K83" s="70">
        <f t="shared" si="22"/>
        <v>372649.03260623367</v>
      </c>
      <c r="L83" s="70">
        <f t="shared" si="22"/>
        <v>349476.86303648824</v>
      </c>
      <c r="M83" s="70">
        <f t="shared" si="22"/>
        <v>325862.46513371717</v>
      </c>
      <c r="N83" s="70">
        <f t="shared" si="22"/>
        <v>301785.89075298305</v>
      </c>
      <c r="O83" s="70">
        <f t="shared" si="22"/>
        <v>277226.32223716751</v>
      </c>
      <c r="P83" s="70">
        <f t="shared" si="22"/>
        <v>252162.03927478232</v>
      </c>
      <c r="Q83" s="70">
        <f t="shared" si="22"/>
        <v>226570.38444033873</v>
      </c>
      <c r="R83" s="70">
        <f t="shared" si="22"/>
        <v>200431.43788980276</v>
      </c>
      <c r="S83" s="70">
        <f t="shared" si="22"/>
        <v>173720.60838575053</v>
      </c>
      <c r="T83" s="70">
        <f t="shared" si="22"/>
        <v>146412.25856152258</v>
      </c>
      <c r="U83" s="70">
        <f t="shared" si="22"/>
        <v>118483.22751815568</v>
      </c>
      <c r="V83" s="70">
        <f t="shared" si="22"/>
        <v>89905.707985718298</v>
      </c>
      <c r="W83" s="70">
        <f t="shared" si="22"/>
        <v>60650.723948480525</v>
      </c>
      <c r="X83" s="70">
        <f t="shared" si="22"/>
        <v>30691.502145820195</v>
      </c>
      <c r="Y83" s="71">
        <f t="shared" si="22"/>
        <v>0</v>
      </c>
    </row>
    <row r="85" spans="3:25" ht="27.6" x14ac:dyDescent="0.25">
      <c r="C85" s="65" t="s">
        <v>72</v>
      </c>
    </row>
    <row r="86" spans="3:25" x14ac:dyDescent="0.25">
      <c r="C86" s="122" t="s">
        <v>73</v>
      </c>
      <c r="D86" s="66"/>
      <c r="E86" s="66"/>
      <c r="F86" s="66">
        <f>F53+F64+F75</f>
        <v>0</v>
      </c>
      <c r="G86" s="66">
        <f t="shared" ref="G86:Y86" si="23">G53+G64+G75</f>
        <v>-131192.53686674975</v>
      </c>
      <c r="H86" s="66">
        <f t="shared" si="23"/>
        <v>6535.8694095679675</v>
      </c>
      <c r="I86" s="66">
        <f t="shared" si="23"/>
        <v>121188.4035381102</v>
      </c>
      <c r="J86" s="66">
        <f t="shared" si="23"/>
        <v>233128.84939401477</v>
      </c>
      <c r="K86" s="66">
        <f t="shared" si="23"/>
        <v>324751.12097384577</v>
      </c>
      <c r="L86" s="66">
        <f t="shared" si="23"/>
        <v>397410.40687563305</v>
      </c>
      <c r="M86" s="66">
        <f t="shared" si="23"/>
        <v>468486.29019645246</v>
      </c>
      <c r="N86" s="66">
        <f t="shared" si="23"/>
        <v>522859.63582892745</v>
      </c>
      <c r="O86" s="66">
        <f t="shared" si="23"/>
        <v>561645.63847266522</v>
      </c>
      <c r="P86" s="66">
        <f t="shared" si="23"/>
        <v>585879.1136499698</v>
      </c>
      <c r="Q86" s="66">
        <f t="shared" si="23"/>
        <v>596518.90359565534</v>
      </c>
      <c r="R86" s="66">
        <f t="shared" si="23"/>
        <v>582038.18769969919</v>
      </c>
      <c r="S86" s="66">
        <f t="shared" si="23"/>
        <v>555814.2248651979</v>
      </c>
      <c r="T86" s="66">
        <f t="shared" si="23"/>
        <v>518578.50709384389</v>
      </c>
      <c r="U86" s="66">
        <f t="shared" si="23"/>
        <v>460405.71115977189</v>
      </c>
      <c r="V86" s="66">
        <f t="shared" si="23"/>
        <v>392638.00370636047</v>
      </c>
      <c r="W86" s="66">
        <f t="shared" si="23"/>
        <v>315814.50096661481</v>
      </c>
      <c r="X86" s="66">
        <f t="shared" si="23"/>
        <v>221389.81716442763</v>
      </c>
      <c r="Y86" s="67">
        <f t="shared" si="23"/>
        <v>110394.54394608362</v>
      </c>
    </row>
    <row r="87" spans="3:25" ht="27.6" x14ac:dyDescent="0.25">
      <c r="C87" s="118" t="s">
        <v>27</v>
      </c>
      <c r="D87" s="68"/>
      <c r="E87" s="68"/>
      <c r="F87" s="68">
        <f t="shared" ref="F87:Y87" si="24">F54+F65+F76</f>
        <v>0</v>
      </c>
      <c r="G87" s="68">
        <f t="shared" si="24"/>
        <v>0</v>
      </c>
      <c r="H87" s="68">
        <f t="shared" si="24"/>
        <v>0</v>
      </c>
      <c r="I87" s="68">
        <f t="shared" si="24"/>
        <v>0</v>
      </c>
      <c r="J87" s="68">
        <f t="shared" si="24"/>
        <v>0</v>
      </c>
      <c r="K87" s="68">
        <f t="shared" si="24"/>
        <v>0</v>
      </c>
      <c r="L87" s="68">
        <f t="shared" si="24"/>
        <v>0</v>
      </c>
      <c r="M87" s="68">
        <f t="shared" si="24"/>
        <v>0</v>
      </c>
      <c r="N87" s="68">
        <f t="shared" si="24"/>
        <v>0</v>
      </c>
      <c r="O87" s="68">
        <f t="shared" si="24"/>
        <v>0</v>
      </c>
      <c r="P87" s="68">
        <f t="shared" si="24"/>
        <v>0</v>
      </c>
      <c r="Q87" s="68">
        <f t="shared" si="24"/>
        <v>0</v>
      </c>
      <c r="R87" s="68">
        <f t="shared" si="24"/>
        <v>0</v>
      </c>
      <c r="S87" s="68">
        <f t="shared" si="24"/>
        <v>0</v>
      </c>
      <c r="T87" s="68">
        <f t="shared" si="24"/>
        <v>0</v>
      </c>
      <c r="U87" s="68">
        <f t="shared" si="24"/>
        <v>0</v>
      </c>
      <c r="V87" s="68">
        <f t="shared" si="24"/>
        <v>0</v>
      </c>
      <c r="W87" s="68">
        <f t="shared" si="24"/>
        <v>0</v>
      </c>
      <c r="X87" s="68">
        <f t="shared" si="24"/>
        <v>0</v>
      </c>
      <c r="Y87" s="69">
        <f t="shared" si="24"/>
        <v>0</v>
      </c>
    </row>
    <row r="88" spans="3:25" ht="27.6" x14ac:dyDescent="0.25">
      <c r="C88" s="118" t="s">
        <v>32</v>
      </c>
      <c r="D88" s="68"/>
      <c r="E88" s="68"/>
      <c r="F88" s="68">
        <f t="shared" ref="F88:Y88" si="25">F55+F66+F77</f>
        <v>0</v>
      </c>
      <c r="G88" s="68">
        <f t="shared" si="25"/>
        <v>0</v>
      </c>
      <c r="H88" s="68">
        <f t="shared" si="25"/>
        <v>0</v>
      </c>
      <c r="I88" s="68">
        <f t="shared" si="25"/>
        <v>0</v>
      </c>
      <c r="J88" s="68">
        <f t="shared" si="25"/>
        <v>0</v>
      </c>
      <c r="K88" s="68">
        <f t="shared" si="25"/>
        <v>0</v>
      </c>
      <c r="L88" s="68">
        <f t="shared" si="25"/>
        <v>0</v>
      </c>
      <c r="M88" s="68">
        <f t="shared" si="25"/>
        <v>0</v>
      </c>
      <c r="N88" s="68">
        <f t="shared" si="25"/>
        <v>0</v>
      </c>
      <c r="O88" s="68">
        <f t="shared" si="25"/>
        <v>0</v>
      </c>
      <c r="P88" s="68">
        <f t="shared" si="25"/>
        <v>0</v>
      </c>
      <c r="Q88" s="68">
        <f t="shared" si="25"/>
        <v>0</v>
      </c>
      <c r="R88" s="68">
        <f t="shared" si="25"/>
        <v>0</v>
      </c>
      <c r="S88" s="68">
        <f t="shared" si="25"/>
        <v>0</v>
      </c>
      <c r="T88" s="68">
        <f t="shared" si="25"/>
        <v>0</v>
      </c>
      <c r="U88" s="68">
        <f t="shared" si="25"/>
        <v>0</v>
      </c>
      <c r="V88" s="68">
        <f t="shared" si="25"/>
        <v>0</v>
      </c>
      <c r="W88" s="68">
        <f t="shared" si="25"/>
        <v>0</v>
      </c>
      <c r="X88" s="68">
        <f t="shared" si="25"/>
        <v>0</v>
      </c>
      <c r="Y88" s="69">
        <f t="shared" si="25"/>
        <v>0</v>
      </c>
    </row>
    <row r="89" spans="3:25" ht="27.6" x14ac:dyDescent="0.25">
      <c r="C89" s="124" t="s">
        <v>30</v>
      </c>
      <c r="D89" s="68"/>
      <c r="E89" s="68"/>
      <c r="F89" s="68">
        <f t="shared" ref="F89:Y89" si="26">F56+F67+F78</f>
        <v>310000</v>
      </c>
      <c r="G89" s="68">
        <f t="shared" si="26"/>
        <v>294376</v>
      </c>
      <c r="H89" s="68">
        <f t="shared" si="26"/>
        <v>279539.44959999999</v>
      </c>
      <c r="I89" s="68">
        <f t="shared" si="26"/>
        <v>265422.70739520004</v>
      </c>
      <c r="J89" s="68">
        <f t="shared" si="26"/>
        <v>252018.86067174241</v>
      </c>
      <c r="K89" s="68">
        <f t="shared" si="26"/>
        <v>239266.70632175228</v>
      </c>
      <c r="L89" s="68">
        <f t="shared" si="26"/>
        <v>227135.88431123944</v>
      </c>
      <c r="M89" s="68">
        <f t="shared" si="26"/>
        <v>215620.0949766596</v>
      </c>
      <c r="N89" s="68">
        <f t="shared" si="26"/>
        <v>204666.59415184529</v>
      </c>
      <c r="O89" s="68">
        <f t="shared" si="26"/>
        <v>194249.06450951635</v>
      </c>
      <c r="P89" s="68">
        <f t="shared" si="26"/>
        <v>184342.362219531</v>
      </c>
      <c r="Q89" s="68">
        <f t="shared" si="26"/>
        <v>174922.467510113</v>
      </c>
      <c r="R89" s="68">
        <f t="shared" si="26"/>
        <v>165948.94492684421</v>
      </c>
      <c r="S89" s="68">
        <f t="shared" si="26"/>
        <v>157419.16915760442</v>
      </c>
      <c r="T89" s="68">
        <f t="shared" si="26"/>
        <v>149312.0819459878</v>
      </c>
      <c r="U89" s="68">
        <f t="shared" si="26"/>
        <v>141592.64730938023</v>
      </c>
      <c r="V89" s="68">
        <f t="shared" si="26"/>
        <v>134258.14817875435</v>
      </c>
      <c r="W89" s="68">
        <f t="shared" si="26"/>
        <v>127290.150288277</v>
      </c>
      <c r="X89" s="68">
        <f t="shared" si="26"/>
        <v>120658.33345825778</v>
      </c>
      <c r="Y89" s="69">
        <f t="shared" si="26"/>
        <v>114347.90261839089</v>
      </c>
    </row>
    <row r="90" spans="3:25" ht="27.6" x14ac:dyDescent="0.25">
      <c r="C90" s="118" t="s">
        <v>31</v>
      </c>
      <c r="D90" s="68"/>
      <c r="E90" s="68"/>
      <c r="F90" s="68">
        <f>F57+F68+F79</f>
        <v>-393000</v>
      </c>
      <c r="G90" s="68">
        <f t="shared" ref="G90:Y90" si="27">G57+G68+G79</f>
        <v>-114426.8</v>
      </c>
      <c r="H90" s="68">
        <f t="shared" si="27"/>
        <v>-126694.49248000002</v>
      </c>
      <c r="I90" s="68">
        <f t="shared" si="27"/>
        <v>-120296.42060976001</v>
      </c>
      <c r="J90" s="68">
        <f t="shared" si="27"/>
        <v>-130480.73270262792</v>
      </c>
      <c r="K90" s="68">
        <f t="shared" si="27"/>
        <v>-139314.96932605252</v>
      </c>
      <c r="L90" s="68">
        <f t="shared" si="27"/>
        <v>-132251.70038122169</v>
      </c>
      <c r="M90" s="68">
        <f t="shared" si="27"/>
        <v>-139457.51304135565</v>
      </c>
      <c r="N90" s="68">
        <f t="shared" si="27"/>
        <v>-145577.36777574802</v>
      </c>
      <c r="O90" s="68">
        <f t="shared" si="27"/>
        <v>-150699.67746625381</v>
      </c>
      <c r="P90" s="68">
        <f t="shared" si="27"/>
        <v>-154907.04954254138</v>
      </c>
      <c r="Q90" s="68">
        <f t="shared" si="27"/>
        <v>-169561.94027996439</v>
      </c>
      <c r="R90" s="68">
        <f t="shared" si="27"/>
        <v>-171569.79628726962</v>
      </c>
      <c r="S90" s="68">
        <f t="shared" si="27"/>
        <v>-172907.18418762682</v>
      </c>
      <c r="T90" s="68">
        <f t="shared" si="27"/>
        <v>-183268.53929176892</v>
      </c>
      <c r="U90" s="68">
        <f t="shared" si="27"/>
        <v>-182928.56531421543</v>
      </c>
      <c r="V90" s="68">
        <f t="shared" si="27"/>
        <v>-182114.68164247164</v>
      </c>
      <c r="W90" s="68">
        <f t="shared" si="27"/>
        <v>-189087.46518629536</v>
      </c>
      <c r="X90" s="68">
        <f t="shared" si="27"/>
        <v>-194804.82547050974</v>
      </c>
      <c r="Y90" s="69">
        <f t="shared" si="27"/>
        <v>-184616.53309840208</v>
      </c>
    </row>
    <row r="91" spans="3:25" ht="27.6" x14ac:dyDescent="0.25">
      <c r="C91" s="124" t="s">
        <v>29</v>
      </c>
      <c r="D91" s="68"/>
      <c r="E91" s="68"/>
      <c r="F91" s="68">
        <f t="shared" ref="F91:Y91" si="28">F58+F69+F80</f>
        <v>880</v>
      </c>
      <c r="G91" s="68">
        <f t="shared" si="28"/>
        <v>5938.5865253300071</v>
      </c>
      <c r="H91" s="68">
        <f t="shared" si="28"/>
        <v>10883.933861182722</v>
      </c>
      <c r="I91" s="68">
        <f t="shared" si="28"/>
        <v>14933.59902254201</v>
      </c>
      <c r="J91" s="68">
        <f t="shared" si="28"/>
        <v>18901.8706812868</v>
      </c>
      <c r="K91" s="68">
        <f t="shared" si="28"/>
        <v>22082.179679180415</v>
      </c>
      <c r="L91" s="68">
        <f t="shared" si="28"/>
        <v>24527.579878852423</v>
      </c>
      <c r="M91" s="68">
        <f t="shared" si="28"/>
        <v>26933.015216971166</v>
      </c>
      <c r="N91" s="68">
        <f t="shared" si="28"/>
        <v>28691.716010927219</v>
      </c>
      <c r="O91" s="68">
        <f t="shared" si="28"/>
        <v>29847.289990268229</v>
      </c>
      <c r="P91" s="68">
        <f t="shared" si="28"/>
        <v>30440.174310340968</v>
      </c>
      <c r="Q91" s="68">
        <f t="shared" si="28"/>
        <v>30507.809909210504</v>
      </c>
      <c r="R91" s="68">
        <f t="shared" si="28"/>
        <v>29587.587415208051</v>
      </c>
      <c r="S91" s="68">
        <f t="shared" si="28"/>
        <v>28214.497422596887</v>
      </c>
      <c r="T91" s="68">
        <f t="shared" si="28"/>
        <v>26416.999397701293</v>
      </c>
      <c r="U91" s="68">
        <f t="shared" si="28"/>
        <v>23796.749044147327</v>
      </c>
      <c r="V91" s="68">
        <f t="shared" si="28"/>
        <v>20807.329779047086</v>
      </c>
      <c r="W91" s="68">
        <f t="shared" si="28"/>
        <v>17469.605749619121</v>
      </c>
      <c r="X91" s="68">
        <f t="shared" si="28"/>
        <v>13440.609357990901</v>
      </c>
      <c r="Y91" s="69">
        <f t="shared" si="28"/>
        <v>8761.0020573421989</v>
      </c>
    </row>
    <row r="92" spans="3:25" ht="27.6" x14ac:dyDescent="0.25">
      <c r="C92" s="124" t="s">
        <v>18</v>
      </c>
      <c r="D92" s="68"/>
      <c r="E92" s="68"/>
      <c r="F92" s="68">
        <f t="shared" ref="F92:Y92" si="29">F59+F70+F81</f>
        <v>0</v>
      </c>
      <c r="G92" s="68">
        <f t="shared" si="29"/>
        <v>0</v>
      </c>
      <c r="H92" s="68">
        <f t="shared" si="29"/>
        <v>0</v>
      </c>
      <c r="I92" s="68">
        <f t="shared" si="29"/>
        <v>0</v>
      </c>
      <c r="J92" s="68">
        <f t="shared" si="29"/>
        <v>0</v>
      </c>
      <c r="K92" s="68">
        <f t="shared" si="29"/>
        <v>0</v>
      </c>
      <c r="L92" s="68">
        <f t="shared" si="29"/>
        <v>0</v>
      </c>
      <c r="M92" s="68">
        <f t="shared" si="29"/>
        <v>0</v>
      </c>
      <c r="N92" s="68">
        <f t="shared" si="29"/>
        <v>0</v>
      </c>
      <c r="O92" s="68">
        <f t="shared" si="29"/>
        <v>0</v>
      </c>
      <c r="P92" s="68">
        <f t="shared" si="29"/>
        <v>0</v>
      </c>
      <c r="Q92" s="68">
        <f t="shared" si="29"/>
        <v>0</v>
      </c>
      <c r="R92" s="68">
        <f t="shared" si="29"/>
        <v>0</v>
      </c>
      <c r="S92" s="68">
        <f t="shared" si="29"/>
        <v>0</v>
      </c>
      <c r="T92" s="68">
        <f t="shared" si="29"/>
        <v>0</v>
      </c>
      <c r="U92" s="68">
        <f t="shared" si="29"/>
        <v>0</v>
      </c>
      <c r="V92" s="68">
        <f t="shared" si="29"/>
        <v>0</v>
      </c>
      <c r="W92" s="68">
        <f t="shared" si="29"/>
        <v>0</v>
      </c>
      <c r="X92" s="68">
        <f t="shared" si="29"/>
        <v>0</v>
      </c>
      <c r="Y92" s="69">
        <f t="shared" si="29"/>
        <v>0</v>
      </c>
    </row>
    <row r="93" spans="3:25" ht="27.6" x14ac:dyDescent="0.25">
      <c r="C93" s="118" t="s">
        <v>33</v>
      </c>
      <c r="D93" s="68"/>
      <c r="E93" s="68"/>
      <c r="F93" s="68">
        <f t="shared" ref="F93:Y93" si="30">F60+F71+F82</f>
        <v>-49072.53686674979</v>
      </c>
      <c r="G93" s="68">
        <f t="shared" si="30"/>
        <v>-48159.380249012225</v>
      </c>
      <c r="H93" s="68">
        <f t="shared" si="30"/>
        <v>-49076.3568526405</v>
      </c>
      <c r="I93" s="68">
        <f t="shared" si="30"/>
        <v>-48119.439952077446</v>
      </c>
      <c r="J93" s="68">
        <f t="shared" si="30"/>
        <v>-48817.72707057029</v>
      </c>
      <c r="K93" s="68">
        <f t="shared" si="30"/>
        <v>-49374.630773092918</v>
      </c>
      <c r="L93" s="68">
        <f t="shared" si="30"/>
        <v>-48335.88048805076</v>
      </c>
      <c r="M93" s="68">
        <f t="shared" si="30"/>
        <v>-48722.251519800106</v>
      </c>
      <c r="N93" s="68">
        <f t="shared" si="30"/>
        <v>-48994.939743286763</v>
      </c>
      <c r="O93" s="68">
        <f t="shared" si="30"/>
        <v>-49163.20185622626</v>
      </c>
      <c r="P93" s="68">
        <f t="shared" si="30"/>
        <v>-49235.697041645064</v>
      </c>
      <c r="Q93" s="68">
        <f t="shared" si="30"/>
        <v>-50349.053035315344</v>
      </c>
      <c r="R93" s="68">
        <f t="shared" si="30"/>
        <v>-50190.698889283849</v>
      </c>
      <c r="S93" s="68">
        <f t="shared" si="30"/>
        <v>-49962.200163928661</v>
      </c>
      <c r="T93" s="68">
        <f t="shared" si="30"/>
        <v>-50633.337985992126</v>
      </c>
      <c r="U93" s="68">
        <f t="shared" si="30"/>
        <v>-50228.538492723572</v>
      </c>
      <c r="V93" s="68">
        <f t="shared" si="30"/>
        <v>-49774.299055075426</v>
      </c>
      <c r="W93" s="68">
        <f t="shared" si="30"/>
        <v>-50096.974653787904</v>
      </c>
      <c r="X93" s="68">
        <f t="shared" si="30"/>
        <v>-50289.390564082962</v>
      </c>
      <c r="Y93" s="69">
        <f t="shared" si="30"/>
        <v>-48886.915523414238</v>
      </c>
    </row>
    <row r="94" spans="3:25" x14ac:dyDescent="0.25">
      <c r="C94" s="116" t="s">
        <v>74</v>
      </c>
      <c r="D94" s="70"/>
      <c r="E94" s="70"/>
      <c r="F94" s="70">
        <f t="shared" ref="F94:Y94" si="31">F61+F72+F83</f>
        <v>-131192.53686674975</v>
      </c>
      <c r="G94" s="70">
        <f t="shared" si="31"/>
        <v>6535.8694095679675</v>
      </c>
      <c r="H94" s="70">
        <f t="shared" si="31"/>
        <v>121188.4035381102</v>
      </c>
      <c r="I94" s="70">
        <f t="shared" si="31"/>
        <v>233128.84939401477</v>
      </c>
      <c r="J94" s="70">
        <f t="shared" si="31"/>
        <v>324751.12097384577</v>
      </c>
      <c r="K94" s="70">
        <f t="shared" si="31"/>
        <v>397410.40687563305</v>
      </c>
      <c r="L94" s="70">
        <f t="shared" si="31"/>
        <v>468486.29019645246</v>
      </c>
      <c r="M94" s="70">
        <f t="shared" si="31"/>
        <v>522859.63582892745</v>
      </c>
      <c r="N94" s="70">
        <f t="shared" si="31"/>
        <v>561645.63847266522</v>
      </c>
      <c r="O94" s="70">
        <f t="shared" si="31"/>
        <v>585879.1136499698</v>
      </c>
      <c r="P94" s="70">
        <f t="shared" si="31"/>
        <v>596518.90359565534</v>
      </c>
      <c r="Q94" s="70">
        <f t="shared" si="31"/>
        <v>582038.18769969919</v>
      </c>
      <c r="R94" s="70">
        <f t="shared" si="31"/>
        <v>555814.2248651979</v>
      </c>
      <c r="S94" s="70">
        <f t="shared" si="31"/>
        <v>518578.50709384389</v>
      </c>
      <c r="T94" s="70">
        <f t="shared" si="31"/>
        <v>460405.71115977189</v>
      </c>
      <c r="U94" s="70">
        <f t="shared" si="31"/>
        <v>392638.00370636047</v>
      </c>
      <c r="V94" s="70">
        <f t="shared" si="31"/>
        <v>315814.50096661481</v>
      </c>
      <c r="W94" s="70">
        <f t="shared" si="31"/>
        <v>221389.81716442763</v>
      </c>
      <c r="X94" s="70">
        <f t="shared" si="31"/>
        <v>110394.54394608362</v>
      </c>
      <c r="Y94" s="71">
        <f t="shared" si="31"/>
        <v>3.8744474295526743E-10</v>
      </c>
    </row>
    <row r="95" spans="3:25" x14ac:dyDescent="0.25">
      <c r="C95" s="68"/>
      <c r="D95" s="68"/>
      <c r="E95" s="68"/>
      <c r="F95" s="68"/>
      <c r="G95" s="68"/>
      <c r="H95" s="68"/>
      <c r="I95" s="68"/>
      <c r="J95" s="68"/>
      <c r="K95" s="68"/>
      <c r="L95" s="68"/>
      <c r="M95" s="68"/>
      <c r="N95" s="68"/>
      <c r="O95" s="68"/>
      <c r="P95" s="68"/>
      <c r="Q95" s="68"/>
      <c r="R95" s="68"/>
      <c r="S95" s="68"/>
      <c r="T95" s="68"/>
      <c r="U95" s="68"/>
      <c r="V95" s="68"/>
      <c r="W95" s="68"/>
      <c r="X95" s="68"/>
      <c r="Y95" s="68"/>
    </row>
    <row r="96" spans="3:25" ht="27.6" x14ac:dyDescent="0.25">
      <c r="C96" s="65" t="s">
        <v>75</v>
      </c>
    </row>
    <row r="97" spans="3:28" x14ac:dyDescent="0.25">
      <c r="C97" s="122" t="s">
        <v>76</v>
      </c>
      <c r="D97" s="66"/>
      <c r="E97" s="66"/>
      <c r="F97" s="66">
        <v>0</v>
      </c>
      <c r="G97" s="66">
        <f>F101</f>
        <v>276027.56704243307</v>
      </c>
      <c r="H97" s="66">
        <f t="shared" ref="H97:Y97" si="32">G101</f>
        <v>263867.91881416464</v>
      </c>
      <c r="I97" s="66">
        <f t="shared" si="32"/>
        <v>251509.94518006357</v>
      </c>
      <c r="J97" s="66">
        <f t="shared" si="32"/>
        <v>238944.51948423954</v>
      </c>
      <c r="K97" s="66">
        <f t="shared" si="32"/>
        <v>226159.75207084045</v>
      </c>
      <c r="L97" s="66">
        <f t="shared" si="32"/>
        <v>213145.64628929092</v>
      </c>
      <c r="M97" s="66">
        <f t="shared" si="32"/>
        <v>199891.76226784126</v>
      </c>
      <c r="N97" s="66">
        <f t="shared" si="32"/>
        <v>186384.93503279742</v>
      </c>
      <c r="O97" s="66">
        <f t="shared" si="32"/>
        <v>172613.75475916878</v>
      </c>
      <c r="P97" s="66">
        <f t="shared" si="32"/>
        <v>158566.31428339801</v>
      </c>
      <c r="Q97" s="66">
        <f t="shared" si="32"/>
        <v>144230.19014688284</v>
      </c>
      <c r="R97" s="66">
        <f t="shared" si="32"/>
        <v>129592.42288595505</v>
      </c>
      <c r="S97" s="66">
        <f t="shared" si="32"/>
        <v>114641.61886301171</v>
      </c>
      <c r="T97" s="66">
        <f t="shared" si="32"/>
        <v>99363.712523777504</v>
      </c>
      <c r="U97" s="66">
        <f t="shared" si="32"/>
        <v>83744.039955005239</v>
      </c>
      <c r="V97" s="66">
        <f t="shared" si="32"/>
        <v>67769.353719170031</v>
      </c>
      <c r="W97" s="66">
        <f t="shared" si="32"/>
        <v>51423.74877425516</v>
      </c>
      <c r="X97" s="66">
        <f t="shared" si="32"/>
        <v>34690.65158575699</v>
      </c>
      <c r="Y97" s="67">
        <f t="shared" si="32"/>
        <v>17554.748538345113</v>
      </c>
    </row>
    <row r="98" spans="3:28" x14ac:dyDescent="0.25">
      <c r="C98" s="126" t="s">
        <v>77</v>
      </c>
      <c r="D98" s="68"/>
      <c r="E98" s="68"/>
      <c r="F98" s="68">
        <f>(F9+F11)*-1</f>
        <v>288000</v>
      </c>
      <c r="G98" s="68">
        <f>(G9+G11)*-1</f>
        <v>0</v>
      </c>
      <c r="H98" s="68">
        <f t="shared" ref="H98:Y98" si="33">(H9+H11)*-1</f>
        <v>0</v>
      </c>
      <c r="I98" s="68">
        <f t="shared" si="33"/>
        <v>0</v>
      </c>
      <c r="J98" s="68">
        <f t="shared" si="33"/>
        <v>0</v>
      </c>
      <c r="K98" s="68">
        <f t="shared" si="33"/>
        <v>0</v>
      </c>
      <c r="L98" s="68">
        <f t="shared" si="33"/>
        <v>0</v>
      </c>
      <c r="M98" s="68">
        <f t="shared" si="33"/>
        <v>0</v>
      </c>
      <c r="N98" s="68">
        <f t="shared" si="33"/>
        <v>0</v>
      </c>
      <c r="O98" s="68">
        <f t="shared" si="33"/>
        <v>0</v>
      </c>
      <c r="P98" s="68">
        <f t="shared" si="33"/>
        <v>0</v>
      </c>
      <c r="Q98" s="68">
        <f t="shared" si="33"/>
        <v>0</v>
      </c>
      <c r="R98" s="68">
        <f t="shared" si="33"/>
        <v>0</v>
      </c>
      <c r="S98" s="68">
        <f t="shared" si="33"/>
        <v>0</v>
      </c>
      <c r="T98" s="68">
        <f t="shared" si="33"/>
        <v>0</v>
      </c>
      <c r="U98" s="68">
        <f t="shared" si="33"/>
        <v>0</v>
      </c>
      <c r="V98" s="68">
        <f t="shared" si="33"/>
        <v>0</v>
      </c>
      <c r="W98" s="68">
        <f t="shared" si="33"/>
        <v>0</v>
      </c>
      <c r="X98" s="68">
        <f t="shared" si="33"/>
        <v>0</v>
      </c>
      <c r="Y98" s="69">
        <f t="shared" si="33"/>
        <v>0</v>
      </c>
    </row>
    <row r="99" spans="3:28" x14ac:dyDescent="0.25">
      <c r="C99" s="126" t="s">
        <v>78</v>
      </c>
      <c r="D99" s="68"/>
      <c r="E99" s="68"/>
      <c r="F99" s="68">
        <f>(F97+F98)*Assumptions!D16</f>
        <v>11520</v>
      </c>
      <c r="G99" s="68">
        <f>(G97+G98)*Assumptions!E16</f>
        <v>11041.102681697323</v>
      </c>
      <c r="H99" s="68">
        <f>(H97+H98)*Assumptions!F16</f>
        <v>10554.716752566586</v>
      </c>
      <c r="I99" s="68">
        <f>(I97+I98)*Assumptions!G16</f>
        <v>10060.397807202544</v>
      </c>
      <c r="J99" s="68">
        <f>(J97+J98)*Assumptions!H16</f>
        <v>9557.7807793695811</v>
      </c>
      <c r="K99" s="68">
        <f>(K97+K98)*Assumptions!I16</f>
        <v>9046.3900828336173</v>
      </c>
      <c r="L99" s="68">
        <f>(L97+L98)*Assumptions!J16</f>
        <v>8525.825851571637</v>
      </c>
      <c r="M99" s="68">
        <f>(M97+M98)*Assumptions!K16</f>
        <v>7995.6704907136509</v>
      </c>
      <c r="N99" s="68">
        <f>(N97+N98)*Assumptions!L16</f>
        <v>7455.3974013118968</v>
      </c>
      <c r="O99" s="68">
        <f>(O97+O98)*Assumptions!M16</f>
        <v>6904.5501903667509</v>
      </c>
      <c r="P99" s="68">
        <f>(P97+P98)*Assumptions!N16</f>
        <v>6342.6525713359206</v>
      </c>
      <c r="Q99" s="68">
        <f>(Q97+Q98)*Assumptions!O16</f>
        <v>5769.2076058753137</v>
      </c>
      <c r="R99" s="68">
        <f>(R97+R98)*Assumptions!P16</f>
        <v>5183.6969154382023</v>
      </c>
      <c r="S99" s="68">
        <f>(S97+S98)*Assumptions!Q16</f>
        <v>4585.6647545204687</v>
      </c>
      <c r="T99" s="68">
        <f>(T97+T98)*Assumptions!R16</f>
        <v>3974.5485009511003</v>
      </c>
      <c r="U99" s="68">
        <f>(U97+U98)*Assumptions!S16</f>
        <v>3349.7615982002098</v>
      </c>
      <c r="V99" s="68">
        <f>(V97+V98)*Assumptions!T16</f>
        <v>2710.7741487668013</v>
      </c>
      <c r="W99" s="68">
        <f>(W97+W98)*Assumptions!U16</f>
        <v>2056.9499509702064</v>
      </c>
      <c r="X99" s="68">
        <f>(X97+X98)*Assumptions!V16</f>
        <v>1387.6260634302796</v>
      </c>
      <c r="Y99" s="69">
        <f>(Y97+Y98)*Assumptions!W16</f>
        <v>702.18994153380459</v>
      </c>
    </row>
    <row r="100" spans="3:28" x14ac:dyDescent="0.25">
      <c r="C100" s="126" t="s">
        <v>22</v>
      </c>
      <c r="D100" s="68"/>
      <c r="E100" s="68"/>
      <c r="F100" s="68">
        <f>-SUM(F97:F99)*F36/SUM(F36:$Y$36)</f>
        <v>-23492.432957566918</v>
      </c>
      <c r="G100" s="68">
        <f>-SUM(G97:G99)*G36/SUM(G36:$Y$36)</f>
        <v>-23200.750909965769</v>
      </c>
      <c r="H100" s="68">
        <f>-SUM(H97:H99)*H36/SUM(H36:$Y$36)</f>
        <v>-22912.690386667637</v>
      </c>
      <c r="I100" s="68">
        <f>-SUM(I97:I99)*I36/SUM(I36:$Y$36)</f>
        <v>-22625.823503026561</v>
      </c>
      <c r="J100" s="68">
        <f>-SUM(J97:J99)*J36/SUM(J36:$Y$36)</f>
        <v>-22342.548192768663</v>
      </c>
      <c r="K100" s="68">
        <f>-SUM(K97:K99)*K36/SUM(K36:$Y$36)</f>
        <v>-22060.495864383156</v>
      </c>
      <c r="L100" s="68">
        <f>-SUM(L97:L99)*L36/SUM(L36:$Y$36)</f>
        <v>-21779.709873021289</v>
      </c>
      <c r="M100" s="68">
        <f>-SUM(M97:M99)*M36/SUM(M36:$Y$36)</f>
        <v>-21502.497725757472</v>
      </c>
      <c r="N100" s="68">
        <f>-SUM(N97:N99)*N36/SUM(N36:$Y$36)</f>
        <v>-21226.577674940549</v>
      </c>
      <c r="O100" s="68">
        <f>-SUM(O97:O99)*O36/SUM(O36:$Y$36)</f>
        <v>-20951.990666137517</v>
      </c>
      <c r="P100" s="68">
        <f>-SUM(P97:P99)*P36/SUM(P36:$Y$36)</f>
        <v>-20678.776707851088</v>
      </c>
      <c r="Q100" s="68">
        <f>-SUM(Q97:Q99)*Q36/SUM(Q36:$Y$36)</f>
        <v>-20406.974866803092</v>
      </c>
      <c r="R100" s="68">
        <f>-SUM(R97:R99)*R36/SUM(R36:$Y$36)</f>
        <v>-20134.500938381534</v>
      </c>
      <c r="S100" s="68">
        <f>-SUM(S97:S99)*S36/SUM(S36:$Y$36)</f>
        <v>-19863.571093754676</v>
      </c>
      <c r="T100" s="68">
        <f>-SUM(T97:T99)*T36/SUM(T36:$Y$36)</f>
        <v>-19594.221069723364</v>
      </c>
      <c r="U100" s="68">
        <f>-SUM(U97:U99)*U36/SUM(U36:$Y$36)</f>
        <v>-19324.447834035407</v>
      </c>
      <c r="V100" s="68">
        <f>-SUM(V97:V99)*V36/SUM(V36:$Y$36)</f>
        <v>-19056.379093681669</v>
      </c>
      <c r="W100" s="68">
        <f>-SUM(W97:W99)*W36/SUM(W36:$Y$36)</f>
        <v>-18790.047139468377</v>
      </c>
      <c r="X100" s="68">
        <f>-SUM(X97:X99)*X36/SUM(X36:$Y$36)</f>
        <v>-18523.529110842159</v>
      </c>
      <c r="Y100" s="69">
        <f>-SUM(Y97:Y99)*Y36/SUM(Y36:$Y$36)</f>
        <v>-18256.938479878918</v>
      </c>
    </row>
    <row r="101" spans="3:28" x14ac:dyDescent="0.25">
      <c r="C101" s="123" t="s">
        <v>79</v>
      </c>
      <c r="D101" s="70"/>
      <c r="E101" s="70"/>
      <c r="F101" s="70">
        <f>SUM(F97:F100)</f>
        <v>276027.56704243307</v>
      </c>
      <c r="G101" s="70">
        <f>SUM(G97:G100)</f>
        <v>263867.91881416464</v>
      </c>
      <c r="H101" s="70">
        <f t="shared" ref="H101:Y101" si="34">SUM(H97:H100)</f>
        <v>251509.94518006357</v>
      </c>
      <c r="I101" s="70">
        <f t="shared" si="34"/>
        <v>238944.51948423954</v>
      </c>
      <c r="J101" s="70">
        <f t="shared" si="34"/>
        <v>226159.75207084045</v>
      </c>
      <c r="K101" s="70">
        <f t="shared" si="34"/>
        <v>213145.64628929092</v>
      </c>
      <c r="L101" s="70">
        <f t="shared" si="34"/>
        <v>199891.76226784126</v>
      </c>
      <c r="M101" s="70">
        <f t="shared" si="34"/>
        <v>186384.93503279742</v>
      </c>
      <c r="N101" s="70">
        <f t="shared" si="34"/>
        <v>172613.75475916878</v>
      </c>
      <c r="O101" s="70">
        <f t="shared" si="34"/>
        <v>158566.31428339801</v>
      </c>
      <c r="P101" s="70">
        <f t="shared" si="34"/>
        <v>144230.19014688284</v>
      </c>
      <c r="Q101" s="70">
        <f t="shared" si="34"/>
        <v>129592.42288595505</v>
      </c>
      <c r="R101" s="70">
        <f t="shared" si="34"/>
        <v>114641.61886301171</v>
      </c>
      <c r="S101" s="70">
        <f t="shared" si="34"/>
        <v>99363.712523777504</v>
      </c>
      <c r="T101" s="70">
        <f t="shared" si="34"/>
        <v>83744.039955005239</v>
      </c>
      <c r="U101" s="70">
        <f t="shared" si="34"/>
        <v>67769.353719170031</v>
      </c>
      <c r="V101" s="70">
        <f t="shared" si="34"/>
        <v>51423.74877425516</v>
      </c>
      <c r="W101" s="70">
        <f t="shared" si="34"/>
        <v>34690.65158575699</v>
      </c>
      <c r="X101" s="70">
        <f t="shared" si="34"/>
        <v>17554.748538345113</v>
      </c>
      <c r="Y101" s="71">
        <f t="shared" si="34"/>
        <v>0</v>
      </c>
      <c r="Z101" s="68"/>
    </row>
    <row r="103" spans="3:28" x14ac:dyDescent="0.25">
      <c r="AB103" s="74" t="s">
        <v>2</v>
      </c>
    </row>
    <row r="104" spans="3:28" x14ac:dyDescent="0.25">
      <c r="C104" s="73" t="s">
        <v>39</v>
      </c>
      <c r="AB104" s="74"/>
    </row>
    <row r="105" spans="3:28" ht="41.4" x14ac:dyDescent="0.25">
      <c r="C105" s="127" t="s">
        <v>24</v>
      </c>
      <c r="D105" s="66"/>
      <c r="E105" s="66"/>
      <c r="F105" s="66">
        <f t="shared" ref="F105:Y105" si="35">-F82</f>
        <v>41072.53686674979</v>
      </c>
      <c r="G105" s="66">
        <f t="shared" si="35"/>
        <v>40562.580249012222</v>
      </c>
      <c r="H105" s="66">
        <f t="shared" si="35"/>
        <v>40058.955252640495</v>
      </c>
      <c r="I105" s="66">
        <f t="shared" si="35"/>
        <v>39557.417132877446</v>
      </c>
      <c r="J105" s="66">
        <f t="shared" si="35"/>
        <v>39062.15827037381</v>
      </c>
      <c r="K105" s="66">
        <f t="shared" si="35"/>
        <v>38569.03758436862</v>
      </c>
      <c r="L105" s="66">
        <f t="shared" si="35"/>
        <v>38078.130873994785</v>
      </c>
      <c r="M105" s="66">
        <f t="shared" si="35"/>
        <v>37593.472424230575</v>
      </c>
      <c r="N105" s="66">
        <f t="shared" si="35"/>
        <v>37111.072986082843</v>
      </c>
      <c r="O105" s="66">
        <f t="shared" si="35"/>
        <v>36631.004145934879</v>
      </c>
      <c r="P105" s="66">
        <f t="shared" si="35"/>
        <v>36153.335851871896</v>
      </c>
      <c r="Q105" s="66">
        <f t="shared" si="35"/>
        <v>35678.136405434896</v>
      </c>
      <c r="R105" s="66">
        <f t="shared" si="35"/>
        <v>35201.761928149528</v>
      </c>
      <c r="S105" s="66">
        <f t="shared" si="35"/>
        <v>34728.087019644357</v>
      </c>
      <c r="T105" s="66">
        <f t="shared" si="35"/>
        <v>34257.174159657974</v>
      </c>
      <c r="U105" s="66">
        <f t="shared" si="35"/>
        <v>33785.5213858278</v>
      </c>
      <c r="V105" s="66">
        <f t="shared" si="35"/>
        <v>33316.848633163601</v>
      </c>
      <c r="W105" s="66">
        <f t="shared" si="35"/>
        <v>32851.212356666503</v>
      </c>
      <c r="X105" s="66">
        <f t="shared" si="35"/>
        <v>32385.250760599549</v>
      </c>
      <c r="Y105" s="67">
        <f t="shared" si="35"/>
        <v>31919.162231653005</v>
      </c>
      <c r="Z105" s="68"/>
      <c r="AB105" s="62">
        <f>NPV(0.04,F105:Z105)</f>
        <v>503519.1816441408</v>
      </c>
    </row>
    <row r="106" spans="3:28" x14ac:dyDescent="0.25">
      <c r="C106" s="128" t="s">
        <v>25</v>
      </c>
      <c r="D106" s="68"/>
      <c r="E106" s="68"/>
      <c r="F106" s="68">
        <f t="shared" ref="F106:Y106" si="36">-F71</f>
        <v>8000</v>
      </c>
      <c r="G106" s="68">
        <f t="shared" si="36"/>
        <v>7596.8</v>
      </c>
      <c r="H106" s="68">
        <f t="shared" si="36"/>
        <v>9017.4016000000029</v>
      </c>
      <c r="I106" s="68">
        <f t="shared" si="36"/>
        <v>8562.0228192000013</v>
      </c>
      <c r="J106" s="68">
        <f t="shared" si="36"/>
        <v>9755.5688001964809</v>
      </c>
      <c r="K106" s="68">
        <f t="shared" si="36"/>
        <v>10805.593188724297</v>
      </c>
      <c r="L106" s="68">
        <f t="shared" si="36"/>
        <v>10257.749614055976</v>
      </c>
      <c r="M106" s="68">
        <f t="shared" si="36"/>
        <v>11128.779095569529</v>
      </c>
      <c r="N106" s="68">
        <f t="shared" si="36"/>
        <v>11883.866757203921</v>
      </c>
      <c r="O106" s="68">
        <f t="shared" si="36"/>
        <v>12532.197710291379</v>
      </c>
      <c r="P106" s="68">
        <f t="shared" si="36"/>
        <v>13082.361189773168</v>
      </c>
      <c r="Q106" s="68">
        <f t="shared" si="36"/>
        <v>14670.916629880447</v>
      </c>
      <c r="R106" s="68">
        <f t="shared" si="36"/>
        <v>14988.936961134321</v>
      </c>
      <c r="S106" s="68">
        <f t="shared" si="36"/>
        <v>15234.113144284302</v>
      </c>
      <c r="T106" s="68">
        <f t="shared" si="36"/>
        <v>16376.163826334148</v>
      </c>
      <c r="U106" s="68">
        <f t="shared" si="36"/>
        <v>16443.017106895768</v>
      </c>
      <c r="V106" s="68">
        <f t="shared" si="36"/>
        <v>16457.450421911824</v>
      </c>
      <c r="W106" s="68">
        <f t="shared" si="36"/>
        <v>17245.7622971214</v>
      </c>
      <c r="X106" s="68">
        <f t="shared" si="36"/>
        <v>17904.139803483413</v>
      </c>
      <c r="Y106" s="69">
        <f t="shared" si="36"/>
        <v>16967.75329176123</v>
      </c>
      <c r="Z106" s="68"/>
      <c r="AB106" s="62">
        <f t="shared" ref="AB106:AB108" si="37">NPV(0.04,F106:Z106)</f>
        <v>165888.58623003133</v>
      </c>
    </row>
    <row r="107" spans="3:28" ht="41.4" x14ac:dyDescent="0.25">
      <c r="C107" s="128" t="s">
        <v>80</v>
      </c>
      <c r="D107" s="68"/>
      <c r="E107" s="68"/>
      <c r="F107" s="68">
        <f t="shared" ref="F107:Y107" si="38">-F15</f>
        <v>80000</v>
      </c>
      <c r="G107" s="68">
        <f t="shared" si="38"/>
        <v>75968</v>
      </c>
      <c r="H107" s="68">
        <f t="shared" si="38"/>
        <v>90174.016000000018</v>
      </c>
      <c r="I107" s="68">
        <f t="shared" si="38"/>
        <v>85620.22819200001</v>
      </c>
      <c r="J107" s="68">
        <f t="shared" si="38"/>
        <v>97555.688001964809</v>
      </c>
      <c r="K107" s="68">
        <f t="shared" si="38"/>
        <v>108055.93188724296</v>
      </c>
      <c r="L107" s="68">
        <f t="shared" si="38"/>
        <v>102577.49614055976</v>
      </c>
      <c r="M107" s="68">
        <f t="shared" si="38"/>
        <v>111287.79095569528</v>
      </c>
      <c r="N107" s="68">
        <f t="shared" si="38"/>
        <v>118838.66757203921</v>
      </c>
      <c r="O107" s="68">
        <f t="shared" si="38"/>
        <v>125321.97710291378</v>
      </c>
      <c r="P107" s="68">
        <f t="shared" si="38"/>
        <v>130823.61189773168</v>
      </c>
      <c r="Q107" s="68">
        <f t="shared" si="38"/>
        <v>146709.16629880446</v>
      </c>
      <c r="R107" s="68">
        <f t="shared" si="38"/>
        <v>149889.36961134319</v>
      </c>
      <c r="S107" s="68">
        <f t="shared" si="38"/>
        <v>152341.13144284301</v>
      </c>
      <c r="T107" s="68">
        <f t="shared" si="38"/>
        <v>163761.63826334148</v>
      </c>
      <c r="U107" s="68">
        <f t="shared" si="38"/>
        <v>164430.17106895769</v>
      </c>
      <c r="V107" s="68">
        <f t="shared" si="38"/>
        <v>164574.50421911824</v>
      </c>
      <c r="W107" s="68">
        <f t="shared" si="38"/>
        <v>172457.622971214</v>
      </c>
      <c r="X107" s="68">
        <f t="shared" si="38"/>
        <v>179041.39803483413</v>
      </c>
      <c r="Y107" s="69">
        <f t="shared" si="38"/>
        <v>169677.53291761229</v>
      </c>
      <c r="Z107" s="68"/>
      <c r="AB107" s="62">
        <f t="shared" si="37"/>
        <v>1658885.8623003138</v>
      </c>
    </row>
    <row r="108" spans="3:28" ht="41.4" x14ac:dyDescent="0.25">
      <c r="C108" s="128" t="s">
        <v>81</v>
      </c>
      <c r="D108" s="68"/>
      <c r="E108" s="68"/>
      <c r="F108" s="68">
        <f t="shared" ref="F108:Y108" si="39">-F10-F12</f>
        <v>25000</v>
      </c>
      <c r="G108" s="68">
        <f t="shared" si="39"/>
        <v>38458.800000000003</v>
      </c>
      <c r="H108" s="68">
        <f t="shared" si="39"/>
        <v>36520.476479999998</v>
      </c>
      <c r="I108" s="68">
        <f t="shared" si="39"/>
        <v>34676.192417760001</v>
      </c>
      <c r="J108" s="68">
        <f t="shared" si="39"/>
        <v>32925.044700663122</v>
      </c>
      <c r="K108" s="68">
        <f t="shared" si="39"/>
        <v>31259.03743880957</v>
      </c>
      <c r="L108" s="68">
        <f t="shared" si="39"/>
        <v>29674.204240661929</v>
      </c>
      <c r="M108" s="68">
        <f t="shared" si="39"/>
        <v>28169.722085660367</v>
      </c>
      <c r="N108" s="68">
        <f t="shared" si="39"/>
        <v>26738.700203708824</v>
      </c>
      <c r="O108" s="68">
        <f t="shared" si="39"/>
        <v>25377.700363340038</v>
      </c>
      <c r="P108" s="68">
        <f t="shared" si="39"/>
        <v>24083.437644809695</v>
      </c>
      <c r="Q108" s="68">
        <f t="shared" si="39"/>
        <v>22852.773981159924</v>
      </c>
      <c r="R108" s="68">
        <f t="shared" si="39"/>
        <v>21680.426675926421</v>
      </c>
      <c r="S108" s="68">
        <f t="shared" si="39"/>
        <v>20566.052744783803</v>
      </c>
      <c r="T108" s="68">
        <f t="shared" si="39"/>
        <v>19506.901028427441</v>
      </c>
      <c r="U108" s="68">
        <f t="shared" si="39"/>
        <v>18498.394245257739</v>
      </c>
      <c r="V108" s="68">
        <f t="shared" si="39"/>
        <v>17540.177423353391</v>
      </c>
      <c r="W108" s="68">
        <f t="shared" si="39"/>
        <v>16629.842215081349</v>
      </c>
      <c r="X108" s="68">
        <f t="shared" si="39"/>
        <v>15763.427435675614</v>
      </c>
      <c r="Y108" s="69">
        <f t="shared" si="39"/>
        <v>14939.000180789779</v>
      </c>
      <c r="Z108" s="68"/>
      <c r="AB108" s="62">
        <f t="shared" si="37"/>
        <v>359570.49266180611</v>
      </c>
    </row>
    <row r="109" spans="3:28" ht="27.6" x14ac:dyDescent="0.25">
      <c r="C109" s="128" t="s">
        <v>26</v>
      </c>
      <c r="D109" s="68"/>
      <c r="E109" s="68"/>
      <c r="F109" s="68">
        <f t="shared" ref="F109:Y109" si="40">-F100</f>
        <v>23492.432957566918</v>
      </c>
      <c r="G109" s="68">
        <f t="shared" si="40"/>
        <v>23200.750909965769</v>
      </c>
      <c r="H109" s="68">
        <f t="shared" si="40"/>
        <v>22912.690386667637</v>
      </c>
      <c r="I109" s="68">
        <f t="shared" si="40"/>
        <v>22625.823503026561</v>
      </c>
      <c r="J109" s="68">
        <f t="shared" si="40"/>
        <v>22342.548192768663</v>
      </c>
      <c r="K109" s="68">
        <f t="shared" si="40"/>
        <v>22060.495864383156</v>
      </c>
      <c r="L109" s="68">
        <f t="shared" si="40"/>
        <v>21779.709873021289</v>
      </c>
      <c r="M109" s="68">
        <f t="shared" si="40"/>
        <v>21502.497725757472</v>
      </c>
      <c r="N109" s="68">
        <f t="shared" si="40"/>
        <v>21226.577674940549</v>
      </c>
      <c r="O109" s="68">
        <f t="shared" si="40"/>
        <v>20951.990666137517</v>
      </c>
      <c r="P109" s="68">
        <f t="shared" si="40"/>
        <v>20678.776707851088</v>
      </c>
      <c r="Q109" s="68">
        <f t="shared" si="40"/>
        <v>20406.974866803092</v>
      </c>
      <c r="R109" s="68">
        <f t="shared" si="40"/>
        <v>20134.500938381534</v>
      </c>
      <c r="S109" s="68">
        <f t="shared" si="40"/>
        <v>19863.571093754676</v>
      </c>
      <c r="T109" s="68">
        <f t="shared" si="40"/>
        <v>19594.221069723364</v>
      </c>
      <c r="U109" s="68">
        <f t="shared" si="40"/>
        <v>19324.447834035407</v>
      </c>
      <c r="V109" s="68">
        <f t="shared" si="40"/>
        <v>19056.379093681669</v>
      </c>
      <c r="W109" s="68">
        <f t="shared" si="40"/>
        <v>18790.047139468377</v>
      </c>
      <c r="X109" s="68">
        <f t="shared" si="40"/>
        <v>18523.529110842159</v>
      </c>
      <c r="Y109" s="69">
        <f t="shared" si="40"/>
        <v>18256.938479878918</v>
      </c>
      <c r="Z109" s="68"/>
      <c r="AB109" s="62">
        <f>NPV(0.04,F109:Z109)</f>
        <v>287999.99999999983</v>
      </c>
    </row>
    <row r="110" spans="3:28" x14ac:dyDescent="0.25">
      <c r="C110" s="129" t="s">
        <v>19</v>
      </c>
      <c r="D110" s="68"/>
      <c r="E110" s="68"/>
      <c r="F110" s="78">
        <f>SUM(F105:F109)</f>
        <v>177564.96982431671</v>
      </c>
      <c r="G110" s="78">
        <f t="shared" ref="G110:Y110" si="41">SUM(G105:G109)</f>
        <v>185786.93115897803</v>
      </c>
      <c r="H110" s="78">
        <f t="shared" si="41"/>
        <v>198683.53971930817</v>
      </c>
      <c r="I110" s="78">
        <f t="shared" si="41"/>
        <v>191041.68406486404</v>
      </c>
      <c r="J110" s="78">
        <f t="shared" si="41"/>
        <v>201641.00796596688</v>
      </c>
      <c r="K110" s="78">
        <f t="shared" si="41"/>
        <v>210750.09596352861</v>
      </c>
      <c r="L110" s="78">
        <f t="shared" si="41"/>
        <v>202367.29074229373</v>
      </c>
      <c r="M110" s="78">
        <f t="shared" si="41"/>
        <v>209682.26228691323</v>
      </c>
      <c r="N110" s="78">
        <f t="shared" si="41"/>
        <v>215798.88519397532</v>
      </c>
      <c r="O110" s="78">
        <f t="shared" si="41"/>
        <v>220814.86998861757</v>
      </c>
      <c r="P110" s="78">
        <f t="shared" si="41"/>
        <v>224821.52329203751</v>
      </c>
      <c r="Q110" s="78">
        <f t="shared" si="41"/>
        <v>240317.96818208284</v>
      </c>
      <c r="R110" s="78">
        <f t="shared" si="41"/>
        <v>241894.996114935</v>
      </c>
      <c r="S110" s="78">
        <f t="shared" si="41"/>
        <v>242732.95544531016</v>
      </c>
      <c r="T110" s="78">
        <f t="shared" si="41"/>
        <v>253496.0983474844</v>
      </c>
      <c r="U110" s="78">
        <f t="shared" si="41"/>
        <v>252481.55164097442</v>
      </c>
      <c r="V110" s="78">
        <f t="shared" si="41"/>
        <v>250945.35979122872</v>
      </c>
      <c r="W110" s="78">
        <f t="shared" si="41"/>
        <v>257974.48697955164</v>
      </c>
      <c r="X110" s="78">
        <f t="shared" si="41"/>
        <v>263617.74514543486</v>
      </c>
      <c r="Y110" s="86">
        <f t="shared" si="41"/>
        <v>251760.3871016952</v>
      </c>
      <c r="Z110" s="68"/>
      <c r="AB110" s="78">
        <f>SUM(AB105:AB109)</f>
        <v>2975864.1228362923</v>
      </c>
    </row>
    <row r="111" spans="3:28" x14ac:dyDescent="0.25">
      <c r="C111" s="129"/>
      <c r="D111" s="68"/>
      <c r="E111" s="68"/>
      <c r="F111" s="78"/>
      <c r="G111" s="68"/>
      <c r="H111" s="68"/>
      <c r="I111" s="68"/>
      <c r="J111" s="68"/>
      <c r="K111" s="68"/>
      <c r="L111" s="68"/>
      <c r="M111" s="68"/>
      <c r="N111" s="68"/>
      <c r="O111" s="68"/>
      <c r="P111" s="68"/>
      <c r="Q111" s="68"/>
      <c r="R111" s="68"/>
      <c r="S111" s="68"/>
      <c r="T111" s="68"/>
      <c r="U111" s="68"/>
      <c r="V111" s="68"/>
      <c r="W111" s="68"/>
      <c r="X111" s="68"/>
      <c r="Y111" s="69"/>
      <c r="Z111" s="68"/>
      <c r="AB111" s="68"/>
    </row>
    <row r="112" spans="3:28" x14ac:dyDescent="0.25">
      <c r="C112" s="112" t="s">
        <v>82</v>
      </c>
      <c r="D112" s="68"/>
      <c r="E112" s="68"/>
      <c r="F112" s="68">
        <f t="shared" ref="F112:Y112" si="42">F26</f>
        <v>-80000</v>
      </c>
      <c r="G112" s="68">
        <f t="shared" si="42"/>
        <v>-75968</v>
      </c>
      <c r="H112" s="68">
        <f t="shared" si="42"/>
        <v>-90174.016000000018</v>
      </c>
      <c r="I112" s="68">
        <f t="shared" si="42"/>
        <v>-85620.22819200001</v>
      </c>
      <c r="J112" s="68">
        <f t="shared" si="42"/>
        <v>-97555.688001964809</v>
      </c>
      <c r="K112" s="68">
        <f t="shared" si="42"/>
        <v>-108055.93188724296</v>
      </c>
      <c r="L112" s="68">
        <f t="shared" si="42"/>
        <v>-102577.49614055976</v>
      </c>
      <c r="M112" s="68">
        <f t="shared" si="42"/>
        <v>-111287.79095569528</v>
      </c>
      <c r="N112" s="68">
        <f t="shared" si="42"/>
        <v>-118838.66757203921</v>
      </c>
      <c r="O112" s="68">
        <f t="shared" si="42"/>
        <v>-125321.97710291378</v>
      </c>
      <c r="P112" s="68">
        <f t="shared" si="42"/>
        <v>-130823.61189773168</v>
      </c>
      <c r="Q112" s="68">
        <f t="shared" si="42"/>
        <v>-146709.16629880446</v>
      </c>
      <c r="R112" s="68">
        <f t="shared" si="42"/>
        <v>-149889.36961134319</v>
      </c>
      <c r="S112" s="68">
        <f t="shared" si="42"/>
        <v>-152341.13144284301</v>
      </c>
      <c r="T112" s="68">
        <f t="shared" si="42"/>
        <v>-163761.63826334148</v>
      </c>
      <c r="U112" s="68">
        <f t="shared" si="42"/>
        <v>-164430.17106895769</v>
      </c>
      <c r="V112" s="68">
        <f t="shared" si="42"/>
        <v>-164574.50421911824</v>
      </c>
      <c r="W112" s="68">
        <f t="shared" si="42"/>
        <v>-172457.622971214</v>
      </c>
      <c r="X112" s="68">
        <f t="shared" si="42"/>
        <v>-179041.39803483413</v>
      </c>
      <c r="Y112" s="69">
        <f t="shared" si="42"/>
        <v>-169677.53291761229</v>
      </c>
      <c r="Z112" s="68"/>
      <c r="AB112" s="62">
        <f t="shared" ref="AB112:AB120" si="43">NPV(0.04,F112:Z112)</f>
        <v>-1658885.8623003138</v>
      </c>
    </row>
    <row r="113" spans="2:30" x14ac:dyDescent="0.25">
      <c r="C113" s="128" t="s">
        <v>83</v>
      </c>
      <c r="D113" s="68"/>
      <c r="E113" s="68"/>
      <c r="F113" s="68">
        <f>F21+F23</f>
        <v>-25000</v>
      </c>
      <c r="G113" s="68">
        <f t="shared" ref="G113:Y113" si="44">G21+G23</f>
        <v>-38458.800000000003</v>
      </c>
      <c r="H113" s="68">
        <f t="shared" si="44"/>
        <v>-36520.476479999998</v>
      </c>
      <c r="I113" s="68">
        <f t="shared" si="44"/>
        <v>-34676.192417760001</v>
      </c>
      <c r="J113" s="68">
        <f t="shared" si="44"/>
        <v>-32925.044700663122</v>
      </c>
      <c r="K113" s="68">
        <f t="shared" si="44"/>
        <v>-31259.03743880957</v>
      </c>
      <c r="L113" s="68">
        <f t="shared" si="44"/>
        <v>-29674.204240661929</v>
      </c>
      <c r="M113" s="68">
        <f t="shared" si="44"/>
        <v>-28169.722085660367</v>
      </c>
      <c r="N113" s="68">
        <f t="shared" si="44"/>
        <v>-26738.700203708824</v>
      </c>
      <c r="O113" s="68">
        <f t="shared" si="44"/>
        <v>-25377.700363340038</v>
      </c>
      <c r="P113" s="68">
        <f t="shared" si="44"/>
        <v>-24083.437644809695</v>
      </c>
      <c r="Q113" s="68">
        <f t="shared" si="44"/>
        <v>-22852.773981159924</v>
      </c>
      <c r="R113" s="68">
        <f t="shared" si="44"/>
        <v>-21680.426675926421</v>
      </c>
      <c r="S113" s="68">
        <f t="shared" si="44"/>
        <v>-20566.052744783803</v>
      </c>
      <c r="T113" s="68">
        <f t="shared" si="44"/>
        <v>-19506.901028427441</v>
      </c>
      <c r="U113" s="68">
        <f t="shared" si="44"/>
        <v>-18498.394245257739</v>
      </c>
      <c r="V113" s="68">
        <f t="shared" si="44"/>
        <v>-17540.177423353391</v>
      </c>
      <c r="W113" s="68">
        <f t="shared" si="44"/>
        <v>-16629.842215081349</v>
      </c>
      <c r="X113" s="68">
        <f t="shared" si="44"/>
        <v>-15763.427435675614</v>
      </c>
      <c r="Y113" s="69">
        <f t="shared" si="44"/>
        <v>-14939.000180789779</v>
      </c>
      <c r="Z113" s="68"/>
      <c r="AB113" s="62">
        <f t="shared" si="43"/>
        <v>-359570.49266180611</v>
      </c>
    </row>
    <row r="114" spans="2:30" x14ac:dyDescent="0.25">
      <c r="C114" s="112" t="s">
        <v>22</v>
      </c>
      <c r="D114" s="68"/>
      <c r="E114" s="68"/>
      <c r="F114" s="68">
        <f t="shared" ref="F114:Y114" si="45">F100</f>
        <v>-23492.432957566918</v>
      </c>
      <c r="G114" s="68">
        <f t="shared" si="45"/>
        <v>-23200.750909965769</v>
      </c>
      <c r="H114" s="68">
        <f t="shared" si="45"/>
        <v>-22912.690386667637</v>
      </c>
      <c r="I114" s="68">
        <f t="shared" si="45"/>
        <v>-22625.823503026561</v>
      </c>
      <c r="J114" s="68">
        <f t="shared" si="45"/>
        <v>-22342.548192768663</v>
      </c>
      <c r="K114" s="68">
        <f t="shared" si="45"/>
        <v>-22060.495864383156</v>
      </c>
      <c r="L114" s="68">
        <f t="shared" si="45"/>
        <v>-21779.709873021289</v>
      </c>
      <c r="M114" s="68">
        <f t="shared" si="45"/>
        <v>-21502.497725757472</v>
      </c>
      <c r="N114" s="68">
        <f t="shared" si="45"/>
        <v>-21226.577674940549</v>
      </c>
      <c r="O114" s="68">
        <f t="shared" si="45"/>
        <v>-20951.990666137517</v>
      </c>
      <c r="P114" s="68">
        <f t="shared" si="45"/>
        <v>-20678.776707851088</v>
      </c>
      <c r="Q114" s="68">
        <f t="shared" si="45"/>
        <v>-20406.974866803092</v>
      </c>
      <c r="R114" s="68">
        <f t="shared" si="45"/>
        <v>-20134.500938381534</v>
      </c>
      <c r="S114" s="68">
        <f t="shared" si="45"/>
        <v>-19863.571093754676</v>
      </c>
      <c r="T114" s="68">
        <f t="shared" si="45"/>
        <v>-19594.221069723364</v>
      </c>
      <c r="U114" s="68">
        <f t="shared" si="45"/>
        <v>-19324.447834035407</v>
      </c>
      <c r="V114" s="68">
        <f t="shared" si="45"/>
        <v>-19056.379093681669</v>
      </c>
      <c r="W114" s="68">
        <f t="shared" si="45"/>
        <v>-18790.047139468377</v>
      </c>
      <c r="X114" s="68">
        <f t="shared" si="45"/>
        <v>-18523.529110842159</v>
      </c>
      <c r="Y114" s="69">
        <f t="shared" si="45"/>
        <v>-18256.938479878918</v>
      </c>
      <c r="Z114" s="68"/>
      <c r="AB114" s="62">
        <f t="shared" si="43"/>
        <v>-287999.99999999983</v>
      </c>
    </row>
    <row r="115" spans="2:30" ht="27.6" x14ac:dyDescent="0.25">
      <c r="C115" s="130" t="s">
        <v>87</v>
      </c>
      <c r="D115" s="68"/>
      <c r="E115" s="68"/>
      <c r="F115" s="78">
        <f>SUM(F112:F114)</f>
        <v>-128492.43295756693</v>
      </c>
      <c r="G115" s="78">
        <f t="shared" ref="G115:Y115" si="46">SUM(G112:G114)</f>
        <v>-137627.55090996576</v>
      </c>
      <c r="H115" s="78">
        <f t="shared" si="46"/>
        <v>-149607.18286666766</v>
      </c>
      <c r="I115" s="78">
        <f t="shared" si="46"/>
        <v>-142922.24411278657</v>
      </c>
      <c r="J115" s="78">
        <f t="shared" si="46"/>
        <v>-152823.2808953966</v>
      </c>
      <c r="K115" s="78">
        <f t="shared" si="46"/>
        <v>-161375.46519043567</v>
      </c>
      <c r="L115" s="78">
        <f t="shared" si="46"/>
        <v>-154031.41025424298</v>
      </c>
      <c r="M115" s="78">
        <f t="shared" si="46"/>
        <v>-160960.01076711313</v>
      </c>
      <c r="N115" s="78">
        <f t="shared" si="46"/>
        <v>-166803.94545068857</v>
      </c>
      <c r="O115" s="78">
        <f t="shared" si="46"/>
        <v>-171651.66813239132</v>
      </c>
      <c r="P115" s="78">
        <f t="shared" si="46"/>
        <v>-175585.82625039248</v>
      </c>
      <c r="Q115" s="78">
        <f t="shared" si="46"/>
        <v>-189968.91514676748</v>
      </c>
      <c r="R115" s="78">
        <f t="shared" si="46"/>
        <v>-191704.29722565116</v>
      </c>
      <c r="S115" s="78">
        <f t="shared" si="46"/>
        <v>-192770.75528138148</v>
      </c>
      <c r="T115" s="78">
        <f t="shared" si="46"/>
        <v>-202862.76036149228</v>
      </c>
      <c r="U115" s="78">
        <f t="shared" si="46"/>
        <v>-202253.01314825084</v>
      </c>
      <c r="V115" s="78">
        <f t="shared" si="46"/>
        <v>-201171.0607361533</v>
      </c>
      <c r="W115" s="78">
        <f t="shared" si="46"/>
        <v>-207877.51232576373</v>
      </c>
      <c r="X115" s="78">
        <f t="shared" si="46"/>
        <v>-213328.35458135189</v>
      </c>
      <c r="Y115" s="86">
        <f t="shared" si="46"/>
        <v>-202873.47157828099</v>
      </c>
      <c r="Z115" s="68"/>
      <c r="AB115" s="78">
        <f>SUM(AB112:AB114)</f>
        <v>-2306456.3549621198</v>
      </c>
    </row>
    <row r="116" spans="2:30" x14ac:dyDescent="0.25">
      <c r="C116" s="131"/>
      <c r="D116" s="68"/>
      <c r="E116" s="68"/>
      <c r="F116" s="68"/>
      <c r="G116" s="68"/>
      <c r="H116" s="68"/>
      <c r="I116" s="68"/>
      <c r="J116" s="68"/>
      <c r="K116" s="68"/>
      <c r="L116" s="68"/>
      <c r="M116" s="68"/>
      <c r="N116" s="68"/>
      <c r="O116" s="68"/>
      <c r="P116" s="68"/>
      <c r="Q116" s="68"/>
      <c r="R116" s="68"/>
      <c r="S116" s="68"/>
      <c r="T116" s="68"/>
      <c r="U116" s="68"/>
      <c r="V116" s="68"/>
      <c r="W116" s="68"/>
      <c r="X116" s="68"/>
      <c r="Y116" s="69"/>
      <c r="Z116" s="68"/>
    </row>
    <row r="117" spans="2:30" x14ac:dyDescent="0.25">
      <c r="C117" s="133" t="s">
        <v>21</v>
      </c>
      <c r="D117" s="68"/>
      <c r="E117" s="68"/>
      <c r="F117" s="78">
        <f t="shared" ref="F117:Y117" si="47">F24+F25</f>
        <v>-75000</v>
      </c>
      <c r="G117" s="78">
        <f t="shared" si="47"/>
        <v>-14244</v>
      </c>
      <c r="H117" s="78">
        <f t="shared" si="47"/>
        <v>-13526.102400000002</v>
      </c>
      <c r="I117" s="78">
        <f t="shared" si="47"/>
        <v>-12843.034228800003</v>
      </c>
      <c r="J117" s="78">
        <f t="shared" si="47"/>
        <v>-12194.461000245601</v>
      </c>
      <c r="K117" s="78">
        <f t="shared" si="47"/>
        <v>-11577.421273633174</v>
      </c>
      <c r="L117" s="78">
        <f t="shared" si="47"/>
        <v>-10990.446015059973</v>
      </c>
      <c r="M117" s="78">
        <f t="shared" si="47"/>
        <v>-10433.230402096431</v>
      </c>
      <c r="N117" s="78">
        <f t="shared" si="47"/>
        <v>-9903.2222976699322</v>
      </c>
      <c r="O117" s="78">
        <f t="shared" si="47"/>
        <v>-9399.1482827185337</v>
      </c>
      <c r="P117" s="78">
        <f t="shared" si="47"/>
        <v>-8919.7917202998869</v>
      </c>
      <c r="Q117" s="78">
        <f t="shared" si="47"/>
        <v>-8463.9903633925642</v>
      </c>
      <c r="R117" s="78">
        <f t="shared" si="47"/>
        <v>-8029.7876577505267</v>
      </c>
      <c r="S117" s="78">
        <f t="shared" si="47"/>
        <v>-7617.0565721421499</v>
      </c>
      <c r="T117" s="78">
        <f t="shared" si="47"/>
        <v>-7224.7781586768288</v>
      </c>
      <c r="U117" s="78">
        <f t="shared" si="47"/>
        <v>-6851.2571278732366</v>
      </c>
      <c r="V117" s="78">
        <f t="shared" si="47"/>
        <v>-6496.3620086494038</v>
      </c>
      <c r="W117" s="78">
        <f t="shared" si="47"/>
        <v>-6159.2008204005006</v>
      </c>
      <c r="X117" s="78">
        <f t="shared" si="47"/>
        <v>-5838.3064576576344</v>
      </c>
      <c r="Y117" s="86">
        <f t="shared" si="47"/>
        <v>-5532.9630299221399</v>
      </c>
      <c r="Z117" s="68"/>
      <c r="AB117" s="73">
        <f>NPV(0.04,F25:Y25)+F24</f>
        <v>-198694.19956135267</v>
      </c>
    </row>
    <row r="118" spans="2:30" x14ac:dyDescent="0.25">
      <c r="C118" s="125"/>
      <c r="D118" s="68"/>
      <c r="E118" s="68"/>
      <c r="F118" s="68"/>
      <c r="G118" s="68"/>
      <c r="H118" s="68"/>
      <c r="I118" s="68"/>
      <c r="J118" s="68"/>
      <c r="K118" s="68"/>
      <c r="L118" s="68"/>
      <c r="M118" s="68"/>
      <c r="N118" s="68"/>
      <c r="O118" s="68"/>
      <c r="P118" s="68"/>
      <c r="Q118" s="68"/>
      <c r="R118" s="68"/>
      <c r="S118" s="68"/>
      <c r="T118" s="68"/>
      <c r="U118" s="68"/>
      <c r="V118" s="68"/>
      <c r="W118" s="68"/>
      <c r="X118" s="68"/>
      <c r="Y118" s="69"/>
      <c r="Z118" s="68"/>
    </row>
    <row r="119" spans="2:30" x14ac:dyDescent="0.25">
      <c r="C119" s="122" t="s">
        <v>84</v>
      </c>
      <c r="D119" s="68"/>
      <c r="E119" s="68"/>
      <c r="F119" s="68">
        <f>SUM(F86:F87)*Assumptions!D17+SUM(F8:F11)*Assumptions!D17</f>
        <v>990</v>
      </c>
      <c r="G119" s="68">
        <f>SUM(G86:G87)*Assumptions!E17+SUM(G8:G11)*Assumptions!E17</f>
        <v>6680.9098409962617</v>
      </c>
      <c r="H119" s="68">
        <f>SUM(H86:H87)*Assumptions!F17+SUM(H8:H11)*Assumptions!F17</f>
        <v>12244.425593830558</v>
      </c>
      <c r="I119" s="68">
        <f>SUM(I86:I87)*Assumptions!G17+SUM(I8:I11)*Assumptions!G17</f>
        <v>16800.298900359758</v>
      </c>
      <c r="J119" s="68">
        <f>SUM(J86:J87)*Assumptions!H17+SUM(J8:J11)*Assumptions!H17</f>
        <v>21264.604516447653</v>
      </c>
      <c r="K119" s="68">
        <f>SUM(K86:K87)*Assumptions!I17+SUM(K8:K11)*Assumptions!I17</f>
        <v>24842.45213907797</v>
      </c>
      <c r="L119" s="68">
        <f>SUM(L86:L87)*Assumptions!J17+SUM(L8:L11)*Assumptions!J17</f>
        <v>27593.527363708974</v>
      </c>
      <c r="M119" s="68">
        <f>SUM(M86:M87)*Assumptions!K17+SUM(M8:M11)*Assumptions!K17</f>
        <v>30299.642119092561</v>
      </c>
      <c r="N119" s="68">
        <f>SUM(N86:N87)*Assumptions!L17+SUM(N8:N11)*Assumptions!L17</f>
        <v>32278.180512293118</v>
      </c>
      <c r="O119" s="68">
        <f>SUM(O86:O87)*Assumptions!M17+SUM(O8:O11)*Assumptions!M17</f>
        <v>33578.201239051756</v>
      </c>
      <c r="P119" s="68">
        <f>SUM(P86:P87)*Assumptions!N17+SUM(P8:P11)*Assumptions!N17</f>
        <v>34245.196099133595</v>
      </c>
      <c r="Q119" s="68">
        <f>SUM(Q86:Q87)*Assumptions!O17+SUM(Q8:Q11)*Assumptions!O17</f>
        <v>34321.286147861822</v>
      </c>
      <c r="R119" s="68">
        <f>SUM(R86:R87)*Assumptions!P17+SUM(R8:R11)*Assumptions!P17</f>
        <v>33286.03584210905</v>
      </c>
      <c r="S119" s="68">
        <f>SUM(S86:S87)*Assumptions!Q17+SUM(S8:S11)*Assumptions!Q17</f>
        <v>31741.309600421493</v>
      </c>
      <c r="T119" s="68">
        <f>SUM(T86:T87)*Assumptions!R17+SUM(T8:T11)*Assumptions!R17</f>
        <v>29719.124322413954</v>
      </c>
      <c r="U119" s="68">
        <f>SUM(U86:U87)*Assumptions!S17+SUM(U8:U11)*Assumptions!S17</f>
        <v>26771.342674665739</v>
      </c>
      <c r="V119" s="68">
        <f>SUM(V86:V87)*Assumptions!T17+SUM(V8:V11)*Assumptions!T17</f>
        <v>23408.246001427968</v>
      </c>
      <c r="W119" s="68">
        <f>SUM(W86:W87)*Assumptions!U17+SUM(W8:W11)*Assumptions!U17</f>
        <v>19653.306468321509</v>
      </c>
      <c r="X119" s="68">
        <f>SUM(X86:X87)*Assumptions!V17+SUM(X8:X11)*Assumptions!V17</f>
        <v>15120.685527739763</v>
      </c>
      <c r="Y119" s="69">
        <f>SUM(Y86:Y87)*Assumptions!W17+SUM(Y8:Y11)*Assumptions!W17</f>
        <v>9856.1273145099731</v>
      </c>
      <c r="Z119" s="68"/>
      <c r="AB119" s="62">
        <f t="shared" si="43"/>
        <v>304148.91543934192</v>
      </c>
    </row>
    <row r="120" spans="2:30" x14ac:dyDescent="0.25">
      <c r="C120" s="126" t="s">
        <v>85</v>
      </c>
      <c r="D120" s="68"/>
      <c r="E120" s="68"/>
      <c r="F120" s="68">
        <f t="shared" ref="F120:Y120" si="48">-F91</f>
        <v>-880</v>
      </c>
      <c r="G120" s="68">
        <f t="shared" si="48"/>
        <v>-5938.5865253300071</v>
      </c>
      <c r="H120" s="68">
        <f t="shared" si="48"/>
        <v>-10883.933861182722</v>
      </c>
      <c r="I120" s="68">
        <f t="shared" si="48"/>
        <v>-14933.59902254201</v>
      </c>
      <c r="J120" s="68">
        <f t="shared" si="48"/>
        <v>-18901.8706812868</v>
      </c>
      <c r="K120" s="68">
        <f t="shared" si="48"/>
        <v>-22082.179679180415</v>
      </c>
      <c r="L120" s="68">
        <f t="shared" si="48"/>
        <v>-24527.579878852423</v>
      </c>
      <c r="M120" s="68">
        <f t="shared" si="48"/>
        <v>-26933.015216971166</v>
      </c>
      <c r="N120" s="68">
        <f t="shared" si="48"/>
        <v>-28691.716010927219</v>
      </c>
      <c r="O120" s="68">
        <f t="shared" si="48"/>
        <v>-29847.289990268229</v>
      </c>
      <c r="P120" s="68">
        <f t="shared" si="48"/>
        <v>-30440.174310340968</v>
      </c>
      <c r="Q120" s="68">
        <f t="shared" si="48"/>
        <v>-30507.809909210504</v>
      </c>
      <c r="R120" s="68">
        <f t="shared" si="48"/>
        <v>-29587.587415208051</v>
      </c>
      <c r="S120" s="68">
        <f t="shared" si="48"/>
        <v>-28214.497422596887</v>
      </c>
      <c r="T120" s="68">
        <f t="shared" si="48"/>
        <v>-26416.999397701293</v>
      </c>
      <c r="U120" s="68">
        <f t="shared" si="48"/>
        <v>-23796.749044147327</v>
      </c>
      <c r="V120" s="68">
        <f t="shared" si="48"/>
        <v>-20807.329779047086</v>
      </c>
      <c r="W120" s="68">
        <f t="shared" si="48"/>
        <v>-17469.605749619121</v>
      </c>
      <c r="X120" s="68">
        <f t="shared" si="48"/>
        <v>-13440.609357990901</v>
      </c>
      <c r="Y120" s="69">
        <f t="shared" si="48"/>
        <v>-8761.0020573421989</v>
      </c>
      <c r="Z120" s="68"/>
      <c r="AB120" s="62">
        <f t="shared" si="43"/>
        <v>-270354.59150163736</v>
      </c>
    </row>
    <row r="121" spans="2:30" x14ac:dyDescent="0.25">
      <c r="C121" s="132" t="s">
        <v>86</v>
      </c>
      <c r="D121" s="68"/>
      <c r="E121" s="68"/>
      <c r="F121" s="78">
        <f>SUM(F119:F120)</f>
        <v>110</v>
      </c>
      <c r="G121" s="78">
        <f t="shared" ref="G121:Y121" si="49">SUM(G119:G120)</f>
        <v>742.32331566625453</v>
      </c>
      <c r="H121" s="78">
        <f t="shared" si="49"/>
        <v>1360.4917326478353</v>
      </c>
      <c r="I121" s="78">
        <f t="shared" si="49"/>
        <v>1866.6998778177476</v>
      </c>
      <c r="J121" s="78">
        <f t="shared" si="49"/>
        <v>2362.7338351608523</v>
      </c>
      <c r="K121" s="78">
        <f t="shared" si="49"/>
        <v>2760.2724598975547</v>
      </c>
      <c r="L121" s="78">
        <f t="shared" si="49"/>
        <v>3065.9474848565515</v>
      </c>
      <c r="M121" s="78">
        <f t="shared" si="49"/>
        <v>3366.6269021213957</v>
      </c>
      <c r="N121" s="78">
        <f t="shared" si="49"/>
        <v>3586.4645013658992</v>
      </c>
      <c r="O121" s="78">
        <f t="shared" si="49"/>
        <v>3730.9112487835264</v>
      </c>
      <c r="P121" s="78">
        <f t="shared" si="49"/>
        <v>3805.0217887926265</v>
      </c>
      <c r="Q121" s="78">
        <f t="shared" si="49"/>
        <v>3813.4762386513175</v>
      </c>
      <c r="R121" s="78">
        <f t="shared" si="49"/>
        <v>3698.448426900999</v>
      </c>
      <c r="S121" s="78">
        <f t="shared" si="49"/>
        <v>3526.8121778246059</v>
      </c>
      <c r="T121" s="78">
        <f t="shared" si="49"/>
        <v>3302.1249247126616</v>
      </c>
      <c r="U121" s="78">
        <f t="shared" si="49"/>
        <v>2974.5936305184114</v>
      </c>
      <c r="V121" s="78">
        <f t="shared" si="49"/>
        <v>2600.9162223808817</v>
      </c>
      <c r="W121" s="78">
        <f t="shared" si="49"/>
        <v>2183.7007187023883</v>
      </c>
      <c r="X121" s="78">
        <f t="shared" si="49"/>
        <v>1680.0761697488615</v>
      </c>
      <c r="Y121" s="86">
        <f t="shared" si="49"/>
        <v>1095.1252571677742</v>
      </c>
      <c r="Z121" s="68"/>
      <c r="AB121" s="78">
        <f>SUM(AB119:AB120)</f>
        <v>33794.323937704554</v>
      </c>
      <c r="AC121" s="74"/>
      <c r="AD121" s="74"/>
    </row>
    <row r="122" spans="2:30" x14ac:dyDescent="0.25">
      <c r="C122" s="125"/>
      <c r="D122" s="68"/>
      <c r="E122" s="68"/>
      <c r="F122" s="68"/>
      <c r="G122" s="68"/>
      <c r="H122" s="68"/>
      <c r="I122" s="68"/>
      <c r="J122" s="68"/>
      <c r="K122" s="68"/>
      <c r="L122" s="68"/>
      <c r="M122" s="68"/>
      <c r="N122" s="68"/>
      <c r="O122" s="68"/>
      <c r="P122" s="68"/>
      <c r="Q122" s="68"/>
      <c r="R122" s="68"/>
      <c r="S122" s="68"/>
      <c r="T122" s="68"/>
      <c r="U122" s="68"/>
      <c r="V122" s="68"/>
      <c r="W122" s="68"/>
      <c r="X122" s="68"/>
      <c r="Y122" s="69"/>
      <c r="Z122" s="68"/>
      <c r="AC122" s="74" t="s">
        <v>3</v>
      </c>
      <c r="AD122" s="74" t="s">
        <v>4</v>
      </c>
    </row>
    <row r="123" spans="2:30" x14ac:dyDescent="0.25">
      <c r="C123" s="133" t="s">
        <v>20</v>
      </c>
      <c r="D123" s="70"/>
      <c r="E123" s="70"/>
      <c r="F123" s="87">
        <f t="shared" ref="F123:Y123" si="50">F110+F115+F117+F121</f>
        <v>-25817.463133250218</v>
      </c>
      <c r="G123" s="87">
        <f>G110+G115+G117+G121</f>
        <v>34657.703564678515</v>
      </c>
      <c r="H123" s="87">
        <f t="shared" si="50"/>
        <v>36910.746185288343</v>
      </c>
      <c r="I123" s="87">
        <f t="shared" si="50"/>
        <v>37143.105601095202</v>
      </c>
      <c r="J123" s="87">
        <f t="shared" si="50"/>
        <v>38985.999905485529</v>
      </c>
      <c r="K123" s="87">
        <f t="shared" si="50"/>
        <v>40557.481959357319</v>
      </c>
      <c r="L123" s="87">
        <f t="shared" si="50"/>
        <v>40411.381957847327</v>
      </c>
      <c r="M123" s="87">
        <f t="shared" si="50"/>
        <v>41655.648019825072</v>
      </c>
      <c r="N123" s="87">
        <f t="shared" si="50"/>
        <v>42678.181946982717</v>
      </c>
      <c r="O123" s="87">
        <f t="shared" si="50"/>
        <v>43494.964822291251</v>
      </c>
      <c r="P123" s="87">
        <f t="shared" si="50"/>
        <v>44120.927110137774</v>
      </c>
      <c r="Q123" s="87">
        <f t="shared" si="50"/>
        <v>45698.538910574112</v>
      </c>
      <c r="R123" s="87">
        <f t="shared" si="50"/>
        <v>45859.359658434318</v>
      </c>
      <c r="S123" s="87">
        <f t="shared" si="50"/>
        <v>45871.95576961113</v>
      </c>
      <c r="T123" s="87">
        <f t="shared" si="50"/>
        <v>46710.684752027948</v>
      </c>
      <c r="U123" s="87">
        <f t="shared" si="50"/>
        <v>46351.874995368751</v>
      </c>
      <c r="V123" s="87">
        <f t="shared" si="50"/>
        <v>45878.853268806895</v>
      </c>
      <c r="W123" s="87">
        <f t="shared" si="50"/>
        <v>46121.4745520898</v>
      </c>
      <c r="X123" s="87">
        <f t="shared" si="50"/>
        <v>46131.160276174203</v>
      </c>
      <c r="Y123" s="88">
        <f t="shared" si="50"/>
        <v>44449.077750659846</v>
      </c>
      <c r="Z123" s="68"/>
      <c r="AB123" s="73">
        <f>AB110+AB115+AB117+AB121</f>
        <v>504507.89225052431</v>
      </c>
      <c r="AC123" s="62">
        <f>NPV(0.04,F119:Y119)+NPV(0.04,F120:Y120)</f>
        <v>33794.323937704554</v>
      </c>
      <c r="AD123" s="73">
        <f>AB123-AC123</f>
        <v>470713.56831281976</v>
      </c>
    </row>
    <row r="125" spans="2:30" ht="41.4" x14ac:dyDescent="0.25">
      <c r="C125" s="89" t="s">
        <v>88</v>
      </c>
      <c r="F125" s="62">
        <f t="shared" ref="F125:Y125" si="51">F105+F106+F13+F14+F121</f>
        <v>-25817.46313325021</v>
      </c>
      <c r="G125" s="62">
        <f t="shared" si="51"/>
        <v>34657.703564678479</v>
      </c>
      <c r="H125" s="62">
        <f t="shared" si="51"/>
        <v>36910.746185288328</v>
      </c>
      <c r="I125" s="62">
        <f t="shared" si="51"/>
        <v>37143.105601095187</v>
      </c>
      <c r="J125" s="62">
        <f t="shared" si="51"/>
        <v>38985.999905485543</v>
      </c>
      <c r="K125" s="62">
        <f t="shared" si="51"/>
        <v>40557.481959357297</v>
      </c>
      <c r="L125" s="62">
        <f t="shared" si="51"/>
        <v>40411.381957847341</v>
      </c>
      <c r="M125" s="62">
        <f t="shared" si="51"/>
        <v>41655.648019825072</v>
      </c>
      <c r="N125" s="62">
        <f t="shared" si="51"/>
        <v>42678.181946982731</v>
      </c>
      <c r="O125" s="62">
        <f t="shared" si="51"/>
        <v>43494.964822291251</v>
      </c>
      <c r="P125" s="62">
        <f t="shared" si="51"/>
        <v>44120.927110137804</v>
      </c>
      <c r="Q125" s="62">
        <f t="shared" si="51"/>
        <v>45698.538910574098</v>
      </c>
      <c r="R125" s="62">
        <f t="shared" si="51"/>
        <v>45859.359658434318</v>
      </c>
      <c r="S125" s="62">
        <f t="shared" si="51"/>
        <v>45871.955769611115</v>
      </c>
      <c r="T125" s="62">
        <f t="shared" si="51"/>
        <v>46710.684752027963</v>
      </c>
      <c r="U125" s="62">
        <f t="shared" si="51"/>
        <v>46351.874995368751</v>
      </c>
      <c r="V125" s="62">
        <f t="shared" si="51"/>
        <v>45878.853268806903</v>
      </c>
      <c r="W125" s="62">
        <f t="shared" si="51"/>
        <v>46121.474552089785</v>
      </c>
      <c r="X125" s="62">
        <f t="shared" si="51"/>
        <v>46131.160276174189</v>
      </c>
      <c r="Y125" s="62">
        <f t="shared" si="51"/>
        <v>44449.077750659875</v>
      </c>
      <c r="Z125" s="68"/>
    </row>
    <row r="126" spans="2:30" x14ac:dyDescent="0.25">
      <c r="B126" s="63"/>
    </row>
    <row r="127" spans="2:30" x14ac:dyDescent="0.25">
      <c r="B127" s="63"/>
    </row>
    <row r="136" spans="2:25" x14ac:dyDescent="0.25">
      <c r="B136" s="90"/>
    </row>
    <row r="137" spans="2:25" x14ac:dyDescent="0.25">
      <c r="B137" s="91"/>
    </row>
    <row r="142" spans="2:25" x14ac:dyDescent="0.25">
      <c r="F142" s="92"/>
    </row>
    <row r="143" spans="2:25" x14ac:dyDescent="0.25">
      <c r="C143" s="74"/>
      <c r="F143" s="93"/>
    </row>
    <row r="144" spans="2:25" x14ac:dyDescent="0.25">
      <c r="F144" s="94"/>
      <c r="G144" s="94"/>
      <c r="H144" s="94"/>
      <c r="I144" s="94"/>
      <c r="J144" s="94"/>
      <c r="K144" s="94"/>
      <c r="L144" s="94"/>
      <c r="M144" s="94"/>
      <c r="N144" s="94"/>
      <c r="O144" s="94"/>
      <c r="P144" s="94"/>
      <c r="Q144" s="94"/>
      <c r="R144" s="94"/>
      <c r="S144" s="94"/>
      <c r="T144" s="94"/>
      <c r="U144" s="94"/>
      <c r="V144" s="94"/>
      <c r="W144" s="94"/>
      <c r="X144" s="94"/>
      <c r="Y144" s="94"/>
    </row>
    <row r="154" spans="2:25" x14ac:dyDescent="0.25">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row>
    <row r="155" spans="2:25" x14ac:dyDescent="0.25">
      <c r="C155" s="72"/>
    </row>
    <row r="161" spans="2:25" x14ac:dyDescent="0.25">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row>
    <row r="162" spans="2:25" x14ac:dyDescent="0.25">
      <c r="C162" s="72"/>
    </row>
    <row r="163" spans="2:25" x14ac:dyDescent="0.25">
      <c r="C163" s="72"/>
    </row>
    <row r="164" spans="2:25" x14ac:dyDescent="0.25">
      <c r="C164" s="72"/>
    </row>
    <row r="165" spans="2:25" x14ac:dyDescent="0.25">
      <c r="C165" s="7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164"/>
  <sheetViews>
    <sheetView zoomScale="115" zoomScaleNormal="115" workbookViewId="0">
      <pane xSplit="5" ySplit="5" topLeftCell="F6" activePane="bottomRight" state="frozen"/>
      <selection pane="topRight" activeCell="F1" sqref="F1"/>
      <selection pane="bottomLeft" activeCell="A6" sqref="A6"/>
      <selection pane="bottomRight" activeCell="K125" sqref="K125"/>
    </sheetView>
  </sheetViews>
  <sheetFormatPr defaultColWidth="9.109375" defaultRowHeight="14.4" x14ac:dyDescent="0.3"/>
  <cols>
    <col min="1" max="1" width="4.109375" style="2" customWidth="1"/>
    <col min="2" max="2" width="5.5546875" style="2" customWidth="1"/>
    <col min="3" max="3" width="46.6640625" style="2" bestFit="1" customWidth="1"/>
    <col min="4" max="4" width="1.33203125" style="2" customWidth="1"/>
    <col min="5" max="5" width="11.5546875" style="2" customWidth="1"/>
    <col min="6" max="6" width="15.6640625" style="2" customWidth="1"/>
    <col min="7" max="7" width="14.88671875" style="2" customWidth="1"/>
    <col min="8" max="9" width="9.109375" style="2"/>
    <col min="10" max="10" width="10.109375" style="2" bestFit="1" customWidth="1"/>
    <col min="11" max="27" width="9.109375" style="2"/>
    <col min="28" max="28" width="12.109375" style="2" customWidth="1"/>
    <col min="29" max="16384" width="9.109375" style="2"/>
  </cols>
  <sheetData>
    <row r="2" spans="2:28" ht="15.6" x14ac:dyDescent="0.3">
      <c r="B2" s="13"/>
    </row>
    <row r="3" spans="2:28" x14ac:dyDescent="0.3">
      <c r="B3" s="4" t="s">
        <v>89</v>
      </c>
    </row>
    <row r="5" spans="2:28" x14ac:dyDescent="0.3">
      <c r="E5" s="2">
        <v>0</v>
      </c>
      <c r="F5" s="1">
        <v>1</v>
      </c>
      <c r="G5" s="1">
        <f>F5+1</f>
        <v>2</v>
      </c>
      <c r="H5" s="1">
        <f t="shared" ref="H5:Y5" si="0">G5+1</f>
        <v>3</v>
      </c>
      <c r="I5" s="1">
        <f t="shared" si="0"/>
        <v>4</v>
      </c>
      <c r="J5" s="1">
        <f t="shared" si="0"/>
        <v>5</v>
      </c>
      <c r="K5" s="1">
        <f t="shared" si="0"/>
        <v>6</v>
      </c>
      <c r="L5" s="1">
        <f t="shared" si="0"/>
        <v>7</v>
      </c>
      <c r="M5" s="1">
        <f t="shared" si="0"/>
        <v>8</v>
      </c>
      <c r="N5" s="1">
        <f t="shared" si="0"/>
        <v>9</v>
      </c>
      <c r="O5" s="1">
        <f t="shared" si="0"/>
        <v>10</v>
      </c>
      <c r="P5" s="1">
        <f t="shared" si="0"/>
        <v>11</v>
      </c>
      <c r="Q5" s="1">
        <f t="shared" si="0"/>
        <v>12</v>
      </c>
      <c r="R5" s="1">
        <f t="shared" si="0"/>
        <v>13</v>
      </c>
      <c r="S5" s="1">
        <f t="shared" si="0"/>
        <v>14</v>
      </c>
      <c r="T5" s="1">
        <f t="shared" si="0"/>
        <v>15</v>
      </c>
      <c r="U5" s="1">
        <f t="shared" si="0"/>
        <v>16</v>
      </c>
      <c r="V5" s="1">
        <f t="shared" si="0"/>
        <v>17</v>
      </c>
      <c r="W5" s="1">
        <f t="shared" si="0"/>
        <v>18</v>
      </c>
      <c r="X5" s="1">
        <f t="shared" si="0"/>
        <v>19</v>
      </c>
      <c r="Y5" s="1">
        <f t="shared" si="0"/>
        <v>20</v>
      </c>
    </row>
    <row r="6" spans="2:28" x14ac:dyDescent="0.3">
      <c r="F6" s="1"/>
      <c r="G6" s="1"/>
      <c r="H6" s="1"/>
      <c r="I6" s="1"/>
      <c r="J6" s="1"/>
      <c r="K6" s="1"/>
      <c r="L6" s="1"/>
      <c r="M6" s="1"/>
      <c r="N6" s="1"/>
      <c r="O6" s="1"/>
      <c r="P6" s="1"/>
      <c r="Q6" s="1"/>
      <c r="R6" s="1"/>
      <c r="S6" s="1"/>
      <c r="T6" s="1"/>
      <c r="U6" s="1"/>
      <c r="V6" s="1"/>
      <c r="W6" s="1"/>
      <c r="X6" s="1"/>
      <c r="Y6" s="1"/>
    </row>
    <row r="7" spans="2:28" ht="28.2" x14ac:dyDescent="0.3">
      <c r="C7" s="65" t="s">
        <v>10</v>
      </c>
      <c r="F7" s="1"/>
      <c r="G7" s="1"/>
      <c r="H7" s="1"/>
      <c r="I7" s="1"/>
      <c r="J7" s="1"/>
      <c r="K7" s="1"/>
      <c r="L7" s="1"/>
      <c r="M7" s="1"/>
      <c r="N7" s="1"/>
      <c r="O7" s="1"/>
      <c r="P7" s="1"/>
      <c r="Q7" s="1"/>
      <c r="R7" s="1"/>
      <c r="S7" s="1"/>
      <c r="T7" s="1"/>
      <c r="U7" s="1"/>
      <c r="V7" s="1"/>
      <c r="W7" s="1"/>
      <c r="X7" s="1"/>
      <c r="Y7" s="1"/>
    </row>
    <row r="8" spans="2:28" x14ac:dyDescent="0.3">
      <c r="B8" s="2" t="s">
        <v>0</v>
      </c>
      <c r="C8" s="102" t="s">
        <v>53</v>
      </c>
      <c r="D8" s="17"/>
      <c r="E8" s="17"/>
      <c r="F8" s="17">
        <f>F36*(Assumptions!D8*Assumptions!$D$6/1000+Assumptions!D9)</f>
        <v>310000</v>
      </c>
      <c r="G8" s="17">
        <f>G36*(Assumptions!E8*Assumptions!$D$6/1000+Assumptions!E9)</f>
        <v>294376</v>
      </c>
      <c r="H8" s="17">
        <f>H36*(Assumptions!F8*Assumptions!$D$6/1000+Assumptions!F9)</f>
        <v>279539.44959999999</v>
      </c>
      <c r="I8" s="17">
        <f>I36*(Assumptions!G8*Assumptions!$D$6/1000+Assumptions!G9)</f>
        <v>265422.70739520004</v>
      </c>
      <c r="J8" s="17">
        <f>J36*(Assumptions!H8*Assumptions!$D$6/1000+Assumptions!H9)</f>
        <v>252018.86067174241</v>
      </c>
      <c r="K8" s="17">
        <f>K36*(Assumptions!I8*Assumptions!$D$6/1000+Assumptions!I9)</f>
        <v>239266.70632175228</v>
      </c>
      <c r="L8" s="17">
        <f>L36*(Assumptions!J8*Assumptions!$D$6/1000+Assumptions!J9)</f>
        <v>227135.88431123944</v>
      </c>
      <c r="M8" s="17">
        <f>M36*(Assumptions!K8*Assumptions!$D$6/1000+Assumptions!K9)</f>
        <v>215620.0949766596</v>
      </c>
      <c r="N8" s="17">
        <f>N36*(Assumptions!L8*Assumptions!$D$6/1000+Assumptions!L9)</f>
        <v>204666.59415184529</v>
      </c>
      <c r="O8" s="17">
        <f>O36*(Assumptions!M8*Assumptions!$D$6/1000+Assumptions!M9)</f>
        <v>194249.06450951635</v>
      </c>
      <c r="P8" s="17">
        <f>P36*(Assumptions!N8*Assumptions!$D$6/1000+Assumptions!N9)</f>
        <v>184342.362219531</v>
      </c>
      <c r="Q8" s="17">
        <f>Q36*(Assumptions!O8*Assumptions!$D$6/1000+Assumptions!O9)</f>
        <v>174922.467510113</v>
      </c>
      <c r="R8" s="17">
        <f>R36*(Assumptions!P8*Assumptions!$D$6/1000+Assumptions!P9)</f>
        <v>165948.94492684421</v>
      </c>
      <c r="S8" s="17">
        <f>S36*(Assumptions!Q8*Assumptions!$D$6/1000+Assumptions!Q9)</f>
        <v>157419.16915760442</v>
      </c>
      <c r="T8" s="17">
        <f>T36*(Assumptions!R8*Assumptions!$D$6/1000+Assumptions!R9)</f>
        <v>149312.0819459878</v>
      </c>
      <c r="U8" s="17">
        <f>U36*(Assumptions!S8*Assumptions!$D$6/1000+Assumptions!S9)</f>
        <v>141592.64730938023</v>
      </c>
      <c r="V8" s="17">
        <f>V36*(Assumptions!T8*Assumptions!$D$6/1000+Assumptions!T9)</f>
        <v>134258.14817875435</v>
      </c>
      <c r="W8" s="17">
        <f>W36*(Assumptions!U8*Assumptions!$D$6/1000+Assumptions!U9)</f>
        <v>127290.150288277</v>
      </c>
      <c r="X8" s="17">
        <f>X36*(Assumptions!V8*Assumptions!$D$6/1000+Assumptions!V9)</f>
        <v>120658.33345825778</v>
      </c>
      <c r="Y8" s="18">
        <f>Y36*(Assumptions!W8*Assumptions!$D$6/1000+Assumptions!W9)</f>
        <v>114347.90261839089</v>
      </c>
      <c r="Z8" s="19"/>
    </row>
    <row r="9" spans="2:28" x14ac:dyDescent="0.3">
      <c r="B9" s="2" t="s">
        <v>0</v>
      </c>
      <c r="C9" s="103" t="s">
        <v>13</v>
      </c>
      <c r="D9" s="19"/>
      <c r="E9" s="19"/>
      <c r="F9" s="19">
        <f>-F8*Assumptions!D10</f>
        <v>-248000</v>
      </c>
      <c r="G9" s="19">
        <v>0</v>
      </c>
      <c r="H9" s="19">
        <v>0</v>
      </c>
      <c r="I9" s="19">
        <v>0</v>
      </c>
      <c r="J9" s="19">
        <v>0</v>
      </c>
      <c r="K9" s="19">
        <v>0</v>
      </c>
      <c r="L9" s="19">
        <v>0</v>
      </c>
      <c r="M9" s="19">
        <v>0</v>
      </c>
      <c r="N9" s="19">
        <v>0</v>
      </c>
      <c r="O9" s="19">
        <v>0</v>
      </c>
      <c r="P9" s="19">
        <v>0</v>
      </c>
      <c r="Q9" s="19">
        <v>0</v>
      </c>
      <c r="R9" s="19">
        <v>0</v>
      </c>
      <c r="S9" s="19">
        <v>0</v>
      </c>
      <c r="T9" s="19">
        <v>0</v>
      </c>
      <c r="U9" s="19">
        <v>0</v>
      </c>
      <c r="V9" s="19">
        <v>0</v>
      </c>
      <c r="W9" s="19">
        <v>0</v>
      </c>
      <c r="X9" s="19">
        <v>0</v>
      </c>
      <c r="Y9" s="22">
        <v>0</v>
      </c>
      <c r="Z9" s="19"/>
    </row>
    <row r="10" spans="2:28" x14ac:dyDescent="0.3">
      <c r="B10" s="2" t="s">
        <v>0</v>
      </c>
      <c r="C10" s="104" t="s">
        <v>54</v>
      </c>
      <c r="D10" s="19"/>
      <c r="E10" s="19"/>
      <c r="F10" s="19">
        <v>0</v>
      </c>
      <c r="G10" s="19">
        <f>-G8*Assumptions!E10</f>
        <v>-14718.800000000001</v>
      </c>
      <c r="H10" s="19">
        <f>-H8*Assumptions!F10</f>
        <v>-13976.97248</v>
      </c>
      <c r="I10" s="19">
        <f>-I8*Assumptions!G10</f>
        <v>-13271.135369760003</v>
      </c>
      <c r="J10" s="19">
        <f>-J8*Assumptions!H10</f>
        <v>-12600.943033587122</v>
      </c>
      <c r="K10" s="19">
        <f>-K8*Assumptions!I10</f>
        <v>-11963.335316087614</v>
      </c>
      <c r="L10" s="19">
        <f>-L8*Assumptions!J10</f>
        <v>-11356.794215561973</v>
      </c>
      <c r="M10" s="19">
        <f>-M8*Assumptions!K10</f>
        <v>-10781.00474883298</v>
      </c>
      <c r="N10" s="19">
        <f>-N8*Assumptions!L10</f>
        <v>-10233.329707592266</v>
      </c>
      <c r="O10" s="19">
        <f>-O8*Assumptions!M10</f>
        <v>-9712.4532254758178</v>
      </c>
      <c r="P10" s="19">
        <f>-P8*Assumptions!N10</f>
        <v>-9217.1181109765512</v>
      </c>
      <c r="Q10" s="19">
        <f>-Q8*Assumptions!O10</f>
        <v>-8746.123375505651</v>
      </c>
      <c r="R10" s="19">
        <f>-R8*Assumptions!P10</f>
        <v>-8297.4472463422117</v>
      </c>
      <c r="S10" s="19">
        <f>-S8*Assumptions!Q10</f>
        <v>-7870.9584578802214</v>
      </c>
      <c r="T10" s="19">
        <f>-T8*Assumptions!R10</f>
        <v>-7465.6040972993906</v>
      </c>
      <c r="U10" s="19">
        <f>-U8*Assumptions!S10</f>
        <v>-7079.6323654690123</v>
      </c>
      <c r="V10" s="19">
        <f>-V8*Assumptions!T10</f>
        <v>-6712.9074089377173</v>
      </c>
      <c r="W10" s="19">
        <f>-W8*Assumptions!U10</f>
        <v>-6364.50751441385</v>
      </c>
      <c r="X10" s="19">
        <f>-X8*Assumptions!V10</f>
        <v>-6032.9166729128892</v>
      </c>
      <c r="Y10" s="22">
        <f>-Y8*Assumptions!W10</f>
        <v>-5717.3951309195445</v>
      </c>
      <c r="Z10" s="19"/>
    </row>
    <row r="11" spans="2:28" x14ac:dyDescent="0.3">
      <c r="B11" s="2" t="s">
        <v>0</v>
      </c>
      <c r="C11" s="104" t="s">
        <v>45</v>
      </c>
      <c r="D11" s="19"/>
      <c r="E11" s="19"/>
      <c r="F11" s="19">
        <f>-F36*Assumptions!D11</f>
        <v>-40000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22">
        <v>0</v>
      </c>
      <c r="Z11" s="19"/>
    </row>
    <row r="12" spans="2:28" x14ac:dyDescent="0.3">
      <c r="B12" s="2" t="s">
        <v>1</v>
      </c>
      <c r="C12" s="104" t="s">
        <v>47</v>
      </c>
      <c r="D12" s="19"/>
      <c r="E12" s="19"/>
      <c r="F12" s="19">
        <f>-F36*Assumptions!D13</f>
        <v>-25000</v>
      </c>
      <c r="G12" s="19">
        <f>-G36*Assumptions!E13</f>
        <v>-23740</v>
      </c>
      <c r="H12" s="19">
        <f>-H36*Assumptions!F13</f>
        <v>-22543.504000000001</v>
      </c>
      <c r="I12" s="19">
        <f>-I36*Assumptions!G13</f>
        <v>-21405.057048000002</v>
      </c>
      <c r="J12" s="19">
        <f>-J36*Assumptions!H13</f>
        <v>-20324.101667076</v>
      </c>
      <c r="K12" s="19">
        <f>-K36*Assumptions!I13</f>
        <v>-19295.702122721956</v>
      </c>
      <c r="L12" s="19">
        <f>-L36*Assumptions!J13</f>
        <v>-18317.410025099955</v>
      </c>
      <c r="M12" s="19">
        <f>-M36*Assumptions!K13</f>
        <v>-17388.717336827387</v>
      </c>
      <c r="N12" s="19">
        <f>-N36*Assumptions!L13</f>
        <v>-16505.370496116557</v>
      </c>
      <c r="O12" s="19">
        <f>-O36*Assumptions!M13</f>
        <v>-15665.247137864222</v>
      </c>
      <c r="P12" s="19">
        <f>-P36*Assumptions!N13</f>
        <v>-14866.319533833146</v>
      </c>
      <c r="Q12" s="19">
        <f>-Q36*Assumptions!O13</f>
        <v>-14106.650605654275</v>
      </c>
      <c r="R12" s="19">
        <f>-R36*Assumptions!P13</f>
        <v>-13382.979429584211</v>
      </c>
      <c r="S12" s="19">
        <f>-S36*Assumptions!Q13</f>
        <v>-12695.094286903583</v>
      </c>
      <c r="T12" s="19">
        <f>-T36*Assumptions!R13</f>
        <v>-12041.296931128049</v>
      </c>
      <c r="U12" s="19">
        <f>-U36*Assumptions!S13</f>
        <v>-11418.761879788728</v>
      </c>
      <c r="V12" s="19">
        <f>-V36*Assumptions!T13</f>
        <v>-10827.270014415673</v>
      </c>
      <c r="W12" s="19">
        <f>-W36*Assumptions!U13</f>
        <v>-10265.334700667501</v>
      </c>
      <c r="X12" s="19">
        <f>-X36*Assumptions!V13</f>
        <v>-9730.510762762724</v>
      </c>
      <c r="Y12" s="22">
        <f>-Y36*Assumptions!W13</f>
        <v>-9221.6050498702334</v>
      </c>
      <c r="Z12" s="19"/>
    </row>
    <row r="13" spans="2:28" x14ac:dyDescent="0.3">
      <c r="B13" s="2" t="s">
        <v>0</v>
      </c>
      <c r="C13" s="104" t="s">
        <v>46</v>
      </c>
      <c r="D13" s="19"/>
      <c r="E13" s="19"/>
      <c r="F13" s="19">
        <f>-F36*Assumptions!D12</f>
        <v>-60000</v>
      </c>
      <c r="G13" s="19">
        <v>0</v>
      </c>
      <c r="H13" s="19">
        <v>0</v>
      </c>
      <c r="I13" s="19">
        <v>0</v>
      </c>
      <c r="J13" s="19">
        <v>0</v>
      </c>
      <c r="K13" s="19">
        <v>0</v>
      </c>
      <c r="L13" s="19">
        <v>0</v>
      </c>
      <c r="M13" s="19">
        <v>0</v>
      </c>
      <c r="N13" s="19">
        <v>0</v>
      </c>
      <c r="O13" s="19">
        <v>0</v>
      </c>
      <c r="P13" s="19">
        <v>0</v>
      </c>
      <c r="Q13" s="19">
        <v>0</v>
      </c>
      <c r="R13" s="19">
        <v>0</v>
      </c>
      <c r="S13" s="19">
        <v>0</v>
      </c>
      <c r="T13" s="19">
        <v>0</v>
      </c>
      <c r="U13" s="19">
        <v>0</v>
      </c>
      <c r="V13" s="19">
        <v>0</v>
      </c>
      <c r="W13" s="19">
        <v>0</v>
      </c>
      <c r="X13" s="19">
        <v>0</v>
      </c>
      <c r="Y13" s="22">
        <v>0</v>
      </c>
      <c r="Z13" s="19"/>
    </row>
    <row r="14" spans="2:28" x14ac:dyDescent="0.3">
      <c r="B14" s="2" t="s">
        <v>1</v>
      </c>
      <c r="C14" s="104" t="s">
        <v>48</v>
      </c>
      <c r="D14" s="19"/>
      <c r="E14" s="19"/>
      <c r="F14" s="19">
        <f>-F36*Assumptions!D14</f>
        <v>-15000</v>
      </c>
      <c r="G14" s="19">
        <f>-G36*Assumptions!E14</f>
        <v>-14244</v>
      </c>
      <c r="H14" s="19">
        <f>-H36*Assumptions!F14</f>
        <v>-13526.102400000002</v>
      </c>
      <c r="I14" s="19">
        <f>-I36*Assumptions!G14</f>
        <v>-12843.034228800003</v>
      </c>
      <c r="J14" s="19">
        <f>-J36*Assumptions!H14</f>
        <v>-12194.461000245601</v>
      </c>
      <c r="K14" s="19">
        <f>-K36*Assumptions!I14</f>
        <v>-11577.421273633174</v>
      </c>
      <c r="L14" s="19">
        <f>-L36*Assumptions!J14</f>
        <v>-10990.446015059973</v>
      </c>
      <c r="M14" s="19">
        <f>-M36*Assumptions!K14</f>
        <v>-10433.230402096431</v>
      </c>
      <c r="N14" s="19">
        <f>-N36*Assumptions!L14</f>
        <v>-9903.2222976699322</v>
      </c>
      <c r="O14" s="19">
        <f>-O36*Assumptions!M14</f>
        <v>-9399.1482827185337</v>
      </c>
      <c r="P14" s="19">
        <f>-P36*Assumptions!N14</f>
        <v>-8919.7917202998869</v>
      </c>
      <c r="Q14" s="19">
        <f>-Q36*Assumptions!O14</f>
        <v>-8463.9903633925642</v>
      </c>
      <c r="R14" s="19">
        <f>-R36*Assumptions!P14</f>
        <v>-8029.7876577505267</v>
      </c>
      <c r="S14" s="19">
        <f>-S36*Assumptions!Q14</f>
        <v>-7617.0565721421499</v>
      </c>
      <c r="T14" s="19">
        <f>-T36*Assumptions!R14</f>
        <v>-7224.7781586768288</v>
      </c>
      <c r="U14" s="19">
        <f>-U36*Assumptions!S14</f>
        <v>-6851.2571278732366</v>
      </c>
      <c r="V14" s="19">
        <f>-V36*Assumptions!T14</f>
        <v>-6496.3620086494038</v>
      </c>
      <c r="W14" s="19">
        <f>-W36*Assumptions!U14</f>
        <v>-6159.2008204005006</v>
      </c>
      <c r="X14" s="19">
        <f>-X36*Assumptions!V14</f>
        <v>-5838.3064576576344</v>
      </c>
      <c r="Y14" s="22">
        <f>-Y36*Assumptions!W14</f>
        <v>-5532.9630299221399</v>
      </c>
      <c r="Z14" s="19"/>
    </row>
    <row r="15" spans="2:28" x14ac:dyDescent="0.3">
      <c r="B15" s="2" t="s">
        <v>1</v>
      </c>
      <c r="C15" s="105" t="s">
        <v>9</v>
      </c>
      <c r="D15" s="19"/>
      <c r="E15" s="19"/>
      <c r="F15" s="19">
        <f>-F37*Assumptions!$D$6</f>
        <v>-80000</v>
      </c>
      <c r="G15" s="19">
        <f>-G37*Assumptions!$D$6</f>
        <v>-75968</v>
      </c>
      <c r="H15" s="19">
        <f>-H37*Assumptions!$D$6</f>
        <v>-90174.016000000018</v>
      </c>
      <c r="I15" s="19">
        <f>-I37*Assumptions!$D$6</f>
        <v>-85620.22819200001</v>
      </c>
      <c r="J15" s="19">
        <f>-J37*Assumptions!$D$6</f>
        <v>-97555.688001964809</v>
      </c>
      <c r="K15" s="19">
        <f>-K37*Assumptions!$D$6</f>
        <v>-108055.93188724296</v>
      </c>
      <c r="L15" s="19">
        <f>-L37*Assumptions!$D$6</f>
        <v>-102577.49614055976</v>
      </c>
      <c r="M15" s="19">
        <f>-M37*Assumptions!$D$6</f>
        <v>-111287.79095569528</v>
      </c>
      <c r="N15" s="19">
        <f>-N37*Assumptions!$D$6</f>
        <v>-118838.66757203921</v>
      </c>
      <c r="O15" s="19">
        <f>-O37*Assumptions!$D$6</f>
        <v>-125321.97710291378</v>
      </c>
      <c r="P15" s="19">
        <f>-P37*Assumptions!$D$6</f>
        <v>-130823.61189773168</v>
      </c>
      <c r="Q15" s="19">
        <f>-Q37*Assumptions!$D$6</f>
        <v>-146709.16629880446</v>
      </c>
      <c r="R15" s="19">
        <f>-R37*Assumptions!$D$6</f>
        <v>-149889.36961134319</v>
      </c>
      <c r="S15" s="19">
        <f>-S37*Assumptions!$D$6</f>
        <v>-152341.13144284301</v>
      </c>
      <c r="T15" s="19">
        <f>-T37*Assumptions!$D$6</f>
        <v>-163761.63826334148</v>
      </c>
      <c r="U15" s="19">
        <f>-U37*Assumptions!$D$6</f>
        <v>-164430.17106895769</v>
      </c>
      <c r="V15" s="19">
        <f>-V37*Assumptions!$D$6</f>
        <v>-164574.50421911824</v>
      </c>
      <c r="W15" s="19">
        <f>-W37*Assumptions!$D$6</f>
        <v>-172457.622971214</v>
      </c>
      <c r="X15" s="19">
        <f>-X37*Assumptions!$D$6</f>
        <v>-179041.39803483413</v>
      </c>
      <c r="Y15" s="22">
        <f>-Y37*Assumptions!$D$6</f>
        <v>-169677.53291761229</v>
      </c>
      <c r="Z15" s="19"/>
    </row>
    <row r="16" spans="2:28" x14ac:dyDescent="0.3">
      <c r="C16" s="106" t="s">
        <v>12</v>
      </c>
      <c r="D16" s="23"/>
      <c r="E16" s="23"/>
      <c r="F16" s="23">
        <f t="shared" ref="F16:Y16" si="1">SUM(F8:F15)</f>
        <v>-158000</v>
      </c>
      <c r="G16" s="23">
        <f>SUM(G8:G15)</f>
        <v>165705.20000000001</v>
      </c>
      <c r="H16" s="23">
        <f t="shared" si="1"/>
        <v>139318.85471999994</v>
      </c>
      <c r="I16" s="23">
        <f t="shared" si="1"/>
        <v>132283.25255663999</v>
      </c>
      <c r="J16" s="23">
        <f t="shared" si="1"/>
        <v>109343.66696886889</v>
      </c>
      <c r="K16" s="23">
        <f t="shared" si="1"/>
        <v>88374.315722066574</v>
      </c>
      <c r="L16" s="23">
        <f t="shared" si="1"/>
        <v>83893.737914957776</v>
      </c>
      <c r="M16" s="23">
        <f t="shared" si="1"/>
        <v>65729.351533207504</v>
      </c>
      <c r="N16" s="23">
        <f t="shared" si="1"/>
        <v>49186.00407842733</v>
      </c>
      <c r="O16" s="23">
        <f t="shared" si="1"/>
        <v>34150.238760544016</v>
      </c>
      <c r="P16" s="23">
        <f t="shared" si="1"/>
        <v>20515.52095668971</v>
      </c>
      <c r="Q16" s="23">
        <f t="shared" si="1"/>
        <v>-3103.4631332439603</v>
      </c>
      <c r="R16" s="23">
        <f t="shared" si="1"/>
        <v>-13650.63901817592</v>
      </c>
      <c r="S16" s="23">
        <f t="shared" si="1"/>
        <v>-23105.071602164535</v>
      </c>
      <c r="T16" s="23">
        <f t="shared" si="1"/>
        <v>-41181.235504457945</v>
      </c>
      <c r="U16" s="23">
        <f t="shared" si="1"/>
        <v>-48187.17513270842</v>
      </c>
      <c r="V16" s="23">
        <f t="shared" si="1"/>
        <v>-54352.895472366698</v>
      </c>
      <c r="W16" s="23">
        <f t="shared" si="1"/>
        <v>-67956.515718418857</v>
      </c>
      <c r="X16" s="23">
        <f t="shared" si="1"/>
        <v>-79984.798469909598</v>
      </c>
      <c r="Y16" s="24">
        <f t="shared" si="1"/>
        <v>-75801.593509933329</v>
      </c>
      <c r="Z16" s="19"/>
      <c r="AB16" s="9"/>
    </row>
    <row r="17" spans="2:28" x14ac:dyDescent="0.3">
      <c r="C17" s="62"/>
      <c r="E17" s="51"/>
      <c r="F17" s="51"/>
      <c r="G17" s="51"/>
      <c r="H17" s="51"/>
      <c r="I17" s="51"/>
      <c r="J17" s="51"/>
      <c r="K17" s="51"/>
      <c r="L17" s="51"/>
      <c r="M17" s="51"/>
    </row>
    <row r="18" spans="2:28" x14ac:dyDescent="0.3">
      <c r="C18" s="73" t="s">
        <v>11</v>
      </c>
      <c r="F18" s="1"/>
      <c r="G18" s="1"/>
      <c r="H18" s="1"/>
      <c r="I18" s="1"/>
      <c r="J18" s="1"/>
      <c r="K18" s="1"/>
      <c r="L18" s="1"/>
      <c r="M18" s="1"/>
      <c r="N18" s="1"/>
      <c r="O18" s="1"/>
      <c r="P18" s="1"/>
      <c r="Q18" s="1"/>
      <c r="R18" s="1"/>
      <c r="S18" s="1"/>
      <c r="T18" s="1"/>
      <c r="U18" s="1"/>
      <c r="V18" s="1"/>
      <c r="W18" s="1"/>
      <c r="X18" s="1"/>
      <c r="Y18" s="1"/>
      <c r="AB18" s="74" t="s">
        <v>2</v>
      </c>
    </row>
    <row r="19" spans="2:28" x14ac:dyDescent="0.3">
      <c r="B19" s="2" t="s">
        <v>0</v>
      </c>
      <c r="C19" s="102" t="s">
        <v>53</v>
      </c>
      <c r="D19" s="17"/>
      <c r="E19" s="17"/>
      <c r="F19" s="17">
        <f t="shared" ref="F19:Y25" si="2">F8</f>
        <v>310000</v>
      </c>
      <c r="G19" s="17">
        <f t="shared" si="2"/>
        <v>294376</v>
      </c>
      <c r="H19" s="17">
        <f t="shared" si="2"/>
        <v>279539.44959999999</v>
      </c>
      <c r="I19" s="17">
        <f t="shared" si="2"/>
        <v>265422.70739520004</v>
      </c>
      <c r="J19" s="17">
        <f t="shared" si="2"/>
        <v>252018.86067174241</v>
      </c>
      <c r="K19" s="17">
        <f t="shared" si="2"/>
        <v>239266.70632175228</v>
      </c>
      <c r="L19" s="17">
        <f t="shared" si="2"/>
        <v>227135.88431123944</v>
      </c>
      <c r="M19" s="17">
        <f t="shared" si="2"/>
        <v>215620.0949766596</v>
      </c>
      <c r="N19" s="17">
        <f t="shared" si="2"/>
        <v>204666.59415184529</v>
      </c>
      <c r="O19" s="17">
        <f t="shared" si="2"/>
        <v>194249.06450951635</v>
      </c>
      <c r="P19" s="17">
        <f t="shared" si="2"/>
        <v>184342.362219531</v>
      </c>
      <c r="Q19" s="17">
        <f t="shared" si="2"/>
        <v>174922.467510113</v>
      </c>
      <c r="R19" s="17">
        <f t="shared" si="2"/>
        <v>165948.94492684421</v>
      </c>
      <c r="S19" s="17">
        <f t="shared" si="2"/>
        <v>157419.16915760442</v>
      </c>
      <c r="T19" s="17">
        <f t="shared" si="2"/>
        <v>149312.0819459878</v>
      </c>
      <c r="U19" s="17">
        <f t="shared" si="2"/>
        <v>141592.64730938023</v>
      </c>
      <c r="V19" s="17">
        <f t="shared" si="2"/>
        <v>134258.14817875435</v>
      </c>
      <c r="W19" s="17">
        <f t="shared" si="2"/>
        <v>127290.150288277</v>
      </c>
      <c r="X19" s="17">
        <f t="shared" si="2"/>
        <v>120658.33345825778</v>
      </c>
      <c r="Y19" s="18">
        <f t="shared" si="2"/>
        <v>114347.90261839089</v>
      </c>
      <c r="Z19" s="19"/>
      <c r="AB19" s="62">
        <f>NPV(Assumptions!$D$16,G19:Z19)+F19</f>
        <v>2981000.6625720072</v>
      </c>
    </row>
    <row r="20" spans="2:28" x14ac:dyDescent="0.3">
      <c r="B20" s="2" t="s">
        <v>0</v>
      </c>
      <c r="C20" s="103" t="s">
        <v>13</v>
      </c>
      <c r="D20" s="19"/>
      <c r="E20" s="19"/>
      <c r="F20" s="19">
        <f t="shared" si="2"/>
        <v>-248000</v>
      </c>
      <c r="G20" s="19">
        <f t="shared" si="2"/>
        <v>0</v>
      </c>
      <c r="H20" s="19">
        <f t="shared" si="2"/>
        <v>0</v>
      </c>
      <c r="I20" s="19">
        <f t="shared" si="2"/>
        <v>0</v>
      </c>
      <c r="J20" s="19">
        <f t="shared" si="2"/>
        <v>0</v>
      </c>
      <c r="K20" s="19">
        <f t="shared" si="2"/>
        <v>0</v>
      </c>
      <c r="L20" s="19">
        <f t="shared" si="2"/>
        <v>0</v>
      </c>
      <c r="M20" s="19">
        <f t="shared" si="2"/>
        <v>0</v>
      </c>
      <c r="N20" s="19">
        <f t="shared" si="2"/>
        <v>0</v>
      </c>
      <c r="O20" s="19">
        <f t="shared" si="2"/>
        <v>0</v>
      </c>
      <c r="P20" s="19">
        <f t="shared" si="2"/>
        <v>0</v>
      </c>
      <c r="Q20" s="19">
        <f t="shared" si="2"/>
        <v>0</v>
      </c>
      <c r="R20" s="19">
        <f t="shared" si="2"/>
        <v>0</v>
      </c>
      <c r="S20" s="19">
        <f t="shared" si="2"/>
        <v>0</v>
      </c>
      <c r="T20" s="19">
        <f t="shared" si="2"/>
        <v>0</v>
      </c>
      <c r="U20" s="19">
        <f t="shared" si="2"/>
        <v>0</v>
      </c>
      <c r="V20" s="19">
        <f t="shared" si="2"/>
        <v>0</v>
      </c>
      <c r="W20" s="19">
        <f t="shared" si="2"/>
        <v>0</v>
      </c>
      <c r="X20" s="19">
        <f t="shared" si="2"/>
        <v>0</v>
      </c>
      <c r="Y20" s="22">
        <f t="shared" si="2"/>
        <v>0</v>
      </c>
      <c r="Z20" s="19"/>
      <c r="AB20" s="62">
        <f>NPV(Assumptions!$D$16,G20:Z20)+F20</f>
        <v>-248000</v>
      </c>
    </row>
    <row r="21" spans="2:28" x14ac:dyDescent="0.3">
      <c r="B21" s="2" t="s">
        <v>0</v>
      </c>
      <c r="C21" s="104" t="s">
        <v>54</v>
      </c>
      <c r="D21" s="19"/>
      <c r="E21" s="19"/>
      <c r="F21" s="19">
        <f t="shared" si="2"/>
        <v>0</v>
      </c>
      <c r="G21" s="19">
        <f t="shared" si="2"/>
        <v>-14718.800000000001</v>
      </c>
      <c r="H21" s="19">
        <f t="shared" si="2"/>
        <v>-13976.97248</v>
      </c>
      <c r="I21" s="19">
        <f t="shared" si="2"/>
        <v>-13271.135369760003</v>
      </c>
      <c r="J21" s="19">
        <f t="shared" si="2"/>
        <v>-12600.943033587122</v>
      </c>
      <c r="K21" s="19">
        <f t="shared" si="2"/>
        <v>-11963.335316087614</v>
      </c>
      <c r="L21" s="19">
        <f t="shared" si="2"/>
        <v>-11356.794215561973</v>
      </c>
      <c r="M21" s="19">
        <f t="shared" si="2"/>
        <v>-10781.00474883298</v>
      </c>
      <c r="N21" s="19">
        <f t="shared" si="2"/>
        <v>-10233.329707592266</v>
      </c>
      <c r="O21" s="19">
        <f t="shared" si="2"/>
        <v>-9712.4532254758178</v>
      </c>
      <c r="P21" s="19">
        <f t="shared" si="2"/>
        <v>-9217.1181109765512</v>
      </c>
      <c r="Q21" s="19">
        <f t="shared" si="2"/>
        <v>-8746.123375505651</v>
      </c>
      <c r="R21" s="19">
        <f t="shared" si="2"/>
        <v>-8297.4472463422117</v>
      </c>
      <c r="S21" s="19">
        <f t="shared" si="2"/>
        <v>-7870.9584578802214</v>
      </c>
      <c r="T21" s="19">
        <f t="shared" si="2"/>
        <v>-7465.6040972993906</v>
      </c>
      <c r="U21" s="19">
        <f t="shared" si="2"/>
        <v>-7079.6323654690123</v>
      </c>
      <c r="V21" s="19">
        <f t="shared" si="2"/>
        <v>-6712.9074089377173</v>
      </c>
      <c r="W21" s="19">
        <f t="shared" si="2"/>
        <v>-6364.50751441385</v>
      </c>
      <c r="X21" s="19">
        <f t="shared" si="2"/>
        <v>-6032.9166729128892</v>
      </c>
      <c r="Y21" s="22">
        <f t="shared" si="2"/>
        <v>-5717.3951309195445</v>
      </c>
      <c r="Z21" s="19"/>
      <c r="AB21" s="62">
        <f>NPV(Assumptions!$D$16,G21:Z21)+F21</f>
        <v>-133550.03312860033</v>
      </c>
    </row>
    <row r="22" spans="2:28" x14ac:dyDescent="0.3">
      <c r="B22" s="2" t="s">
        <v>0</v>
      </c>
      <c r="C22" s="104" t="s">
        <v>45</v>
      </c>
      <c r="D22" s="19"/>
      <c r="E22" s="19"/>
      <c r="F22" s="19">
        <f t="shared" si="2"/>
        <v>-40000</v>
      </c>
      <c r="G22" s="19">
        <f t="shared" si="2"/>
        <v>0</v>
      </c>
      <c r="H22" s="19">
        <f t="shared" si="2"/>
        <v>0</v>
      </c>
      <c r="I22" s="19">
        <f t="shared" si="2"/>
        <v>0</v>
      </c>
      <c r="J22" s="19">
        <f t="shared" si="2"/>
        <v>0</v>
      </c>
      <c r="K22" s="19">
        <f t="shared" si="2"/>
        <v>0</v>
      </c>
      <c r="L22" s="19">
        <f t="shared" si="2"/>
        <v>0</v>
      </c>
      <c r="M22" s="19">
        <f t="shared" si="2"/>
        <v>0</v>
      </c>
      <c r="N22" s="19">
        <f t="shared" si="2"/>
        <v>0</v>
      </c>
      <c r="O22" s="19">
        <f t="shared" si="2"/>
        <v>0</v>
      </c>
      <c r="P22" s="19">
        <f t="shared" si="2"/>
        <v>0</v>
      </c>
      <c r="Q22" s="19">
        <f t="shared" si="2"/>
        <v>0</v>
      </c>
      <c r="R22" s="19">
        <f t="shared" si="2"/>
        <v>0</v>
      </c>
      <c r="S22" s="19">
        <f t="shared" si="2"/>
        <v>0</v>
      </c>
      <c r="T22" s="19">
        <f t="shared" si="2"/>
        <v>0</v>
      </c>
      <c r="U22" s="19">
        <f t="shared" si="2"/>
        <v>0</v>
      </c>
      <c r="V22" s="19">
        <f t="shared" si="2"/>
        <v>0</v>
      </c>
      <c r="W22" s="19">
        <f t="shared" si="2"/>
        <v>0</v>
      </c>
      <c r="X22" s="19">
        <f t="shared" si="2"/>
        <v>0</v>
      </c>
      <c r="Y22" s="22">
        <f t="shared" si="2"/>
        <v>0</v>
      </c>
      <c r="Z22" s="19"/>
      <c r="AB22" s="62">
        <f>NPV(Assumptions!$D$16,G22:Z22)+F22</f>
        <v>-40000</v>
      </c>
    </row>
    <row r="23" spans="2:28" x14ac:dyDescent="0.3">
      <c r="B23" s="2" t="s">
        <v>1</v>
      </c>
      <c r="C23" s="104" t="s">
        <v>47</v>
      </c>
      <c r="D23" s="19"/>
      <c r="E23" s="19"/>
      <c r="F23" s="19">
        <f t="shared" si="2"/>
        <v>-25000</v>
      </c>
      <c r="G23" s="19">
        <f t="shared" si="2"/>
        <v>-23740</v>
      </c>
      <c r="H23" s="29">
        <f>-H36*Assumptions!F30</f>
        <v>-31560.905600000002</v>
      </c>
      <c r="I23" s="29">
        <f>-I36*Assumptions!G30</f>
        <v>-29967.079867200006</v>
      </c>
      <c r="J23" s="29">
        <f>-J36*Assumptions!H30</f>
        <v>-28453.742333906404</v>
      </c>
      <c r="K23" s="29">
        <f>-K36*Assumptions!I30</f>
        <v>-27013.982971810739</v>
      </c>
      <c r="L23" s="29">
        <f>-L36*Assumptions!J30</f>
        <v>-25644.374035139936</v>
      </c>
      <c r="M23" s="29">
        <f>-M36*Assumptions!K30</f>
        <v>-24344.204271558341</v>
      </c>
      <c r="N23" s="29">
        <f>-N36*Assumptions!L30</f>
        <v>-23107.518694563176</v>
      </c>
      <c r="O23" s="29">
        <f>-O36*Assumptions!M30</f>
        <v>-21931.345993009909</v>
      </c>
      <c r="P23" s="29">
        <f>-P36*Assumptions!N30</f>
        <v>-20812.847347366405</v>
      </c>
      <c r="Q23" s="29">
        <f>-Q36*Assumptions!O30</f>
        <v>-19749.310847915986</v>
      </c>
      <c r="R23" s="29">
        <f>-R36*Assumptions!P30</f>
        <v>-18736.171201417896</v>
      </c>
      <c r="S23" s="29">
        <f>-S36*Assumptions!Q30</f>
        <v>-17773.132001665017</v>
      </c>
      <c r="T23" s="29">
        <f>-T36*Assumptions!R30</f>
        <v>-16857.815703579268</v>
      </c>
      <c r="U23" s="29">
        <f>-U36*Assumptions!S30</f>
        <v>-15986.26663170422</v>
      </c>
      <c r="V23" s="29">
        <f>-V36*Assumptions!T30</f>
        <v>-15158.178020181942</v>
      </c>
      <c r="W23" s="29">
        <f>-W36*Assumptions!U30</f>
        <v>-14371.468580934501</v>
      </c>
      <c r="X23" s="29">
        <f>-X36*Assumptions!V30</f>
        <v>-13622.715067867814</v>
      </c>
      <c r="Y23" s="32">
        <f>-Y36*Assumptions!W30</f>
        <v>-12910.247069818326</v>
      </c>
      <c r="Z23" s="19"/>
      <c r="AB23" s="62">
        <f>NPV(Assumptions!$D$16,F23:Z23)</f>
        <v>-305224.82856228843</v>
      </c>
    </row>
    <row r="24" spans="2:28" x14ac:dyDescent="0.3">
      <c r="B24" s="2" t="s">
        <v>0</v>
      </c>
      <c r="C24" s="104" t="s">
        <v>46</v>
      </c>
      <c r="D24" s="19"/>
      <c r="E24" s="19"/>
      <c r="F24" s="19">
        <f t="shared" si="2"/>
        <v>-60000</v>
      </c>
      <c r="G24" s="19">
        <f t="shared" si="2"/>
        <v>0</v>
      </c>
      <c r="H24" s="19">
        <f t="shared" si="2"/>
        <v>0</v>
      </c>
      <c r="I24" s="19">
        <f t="shared" si="2"/>
        <v>0</v>
      </c>
      <c r="J24" s="19">
        <f t="shared" si="2"/>
        <v>0</v>
      </c>
      <c r="K24" s="19">
        <f t="shared" si="2"/>
        <v>0</v>
      </c>
      <c r="L24" s="19">
        <f t="shared" si="2"/>
        <v>0</v>
      </c>
      <c r="M24" s="19">
        <f t="shared" si="2"/>
        <v>0</v>
      </c>
      <c r="N24" s="19">
        <f t="shared" si="2"/>
        <v>0</v>
      </c>
      <c r="O24" s="19">
        <f t="shared" si="2"/>
        <v>0</v>
      </c>
      <c r="P24" s="19">
        <f t="shared" si="2"/>
        <v>0</v>
      </c>
      <c r="Q24" s="19">
        <f t="shared" si="2"/>
        <v>0</v>
      </c>
      <c r="R24" s="19">
        <f t="shared" si="2"/>
        <v>0</v>
      </c>
      <c r="S24" s="19">
        <f t="shared" si="2"/>
        <v>0</v>
      </c>
      <c r="T24" s="19">
        <f t="shared" si="2"/>
        <v>0</v>
      </c>
      <c r="U24" s="19">
        <f t="shared" si="2"/>
        <v>0</v>
      </c>
      <c r="V24" s="19">
        <f t="shared" si="2"/>
        <v>0</v>
      </c>
      <c r="W24" s="19">
        <f t="shared" si="2"/>
        <v>0</v>
      </c>
      <c r="X24" s="19">
        <f t="shared" si="2"/>
        <v>0</v>
      </c>
      <c r="Y24" s="22">
        <f t="shared" si="2"/>
        <v>0</v>
      </c>
      <c r="Z24" s="19"/>
      <c r="AB24" s="62">
        <f>NPV(Assumptions!$D$16,G24:Z24)+F24</f>
        <v>-60000</v>
      </c>
    </row>
    <row r="25" spans="2:28" x14ac:dyDescent="0.3">
      <c r="B25" s="2" t="s">
        <v>1</v>
      </c>
      <c r="C25" s="104" t="s">
        <v>48</v>
      </c>
      <c r="D25" s="19"/>
      <c r="E25" s="19"/>
      <c r="F25" s="19">
        <f>F14</f>
        <v>-15000</v>
      </c>
      <c r="G25" s="19">
        <f t="shared" si="2"/>
        <v>-14244</v>
      </c>
      <c r="H25" s="19">
        <f t="shared" si="2"/>
        <v>-13526.102400000002</v>
      </c>
      <c r="I25" s="19">
        <f t="shared" si="2"/>
        <v>-12843.034228800003</v>
      </c>
      <c r="J25" s="19">
        <f t="shared" si="2"/>
        <v>-12194.461000245601</v>
      </c>
      <c r="K25" s="19">
        <f t="shared" si="2"/>
        <v>-11577.421273633174</v>
      </c>
      <c r="L25" s="19">
        <f t="shared" si="2"/>
        <v>-10990.446015059973</v>
      </c>
      <c r="M25" s="19">
        <f t="shared" si="2"/>
        <v>-10433.230402096431</v>
      </c>
      <c r="N25" s="19">
        <f t="shared" si="2"/>
        <v>-9903.2222976699322</v>
      </c>
      <c r="O25" s="19">
        <f t="shared" si="2"/>
        <v>-9399.1482827185337</v>
      </c>
      <c r="P25" s="19">
        <f t="shared" si="2"/>
        <v>-8919.7917202998869</v>
      </c>
      <c r="Q25" s="19">
        <f t="shared" si="2"/>
        <v>-8463.9903633925642</v>
      </c>
      <c r="R25" s="19">
        <f t="shared" si="2"/>
        <v>-8029.7876577505267</v>
      </c>
      <c r="S25" s="19">
        <f t="shared" si="2"/>
        <v>-7617.0565721421499</v>
      </c>
      <c r="T25" s="19">
        <f t="shared" si="2"/>
        <v>-7224.7781586768288</v>
      </c>
      <c r="U25" s="19">
        <f t="shared" si="2"/>
        <v>-6851.2571278732366</v>
      </c>
      <c r="V25" s="19">
        <f t="shared" si="2"/>
        <v>-6496.3620086494038</v>
      </c>
      <c r="W25" s="19">
        <f t="shared" si="2"/>
        <v>-6159.2008204005006</v>
      </c>
      <c r="X25" s="19">
        <f t="shared" si="2"/>
        <v>-5838.3064576576344</v>
      </c>
      <c r="Y25" s="22">
        <f t="shared" si="2"/>
        <v>-5532.9630299221399</v>
      </c>
      <c r="Z25" s="19"/>
      <c r="AB25" s="62">
        <f>NPV(Assumptions!$D$16,F25:Z25)</f>
        <v>-138694.19956135267</v>
      </c>
    </row>
    <row r="26" spans="2:28" x14ac:dyDescent="0.3">
      <c r="B26" s="2" t="s">
        <v>1</v>
      </c>
      <c r="C26" s="105" t="s">
        <v>9</v>
      </c>
      <c r="D26" s="19"/>
      <c r="E26" s="19"/>
      <c r="F26" s="19">
        <f t="shared" ref="F26:Y26" si="3">F15</f>
        <v>-80000</v>
      </c>
      <c r="G26" s="19">
        <f t="shared" si="3"/>
        <v>-75968</v>
      </c>
      <c r="H26" s="19">
        <f t="shared" si="3"/>
        <v>-90174.016000000018</v>
      </c>
      <c r="I26" s="19">
        <f t="shared" si="3"/>
        <v>-85620.22819200001</v>
      </c>
      <c r="J26" s="19">
        <f t="shared" si="3"/>
        <v>-97555.688001964809</v>
      </c>
      <c r="K26" s="19">
        <f t="shared" si="3"/>
        <v>-108055.93188724296</v>
      </c>
      <c r="L26" s="19">
        <f t="shared" si="3"/>
        <v>-102577.49614055976</v>
      </c>
      <c r="M26" s="19">
        <f t="shared" si="3"/>
        <v>-111287.79095569528</v>
      </c>
      <c r="N26" s="19">
        <f t="shared" si="3"/>
        <v>-118838.66757203921</v>
      </c>
      <c r="O26" s="19">
        <f t="shared" si="3"/>
        <v>-125321.97710291378</v>
      </c>
      <c r="P26" s="19">
        <f t="shared" si="3"/>
        <v>-130823.61189773168</v>
      </c>
      <c r="Q26" s="19">
        <f t="shared" si="3"/>
        <v>-146709.16629880446</v>
      </c>
      <c r="R26" s="19">
        <f t="shared" si="3"/>
        <v>-149889.36961134319</v>
      </c>
      <c r="S26" s="19">
        <f t="shared" si="3"/>
        <v>-152341.13144284301</v>
      </c>
      <c r="T26" s="19">
        <f t="shared" si="3"/>
        <v>-163761.63826334148</v>
      </c>
      <c r="U26" s="19">
        <f t="shared" si="3"/>
        <v>-164430.17106895769</v>
      </c>
      <c r="V26" s="19">
        <f t="shared" si="3"/>
        <v>-164574.50421911824</v>
      </c>
      <c r="W26" s="19">
        <f t="shared" si="3"/>
        <v>-172457.622971214</v>
      </c>
      <c r="X26" s="19">
        <f t="shared" si="3"/>
        <v>-179041.39803483413</v>
      </c>
      <c r="Y26" s="22">
        <f t="shared" si="3"/>
        <v>-169677.53291761229</v>
      </c>
      <c r="Z26" s="19"/>
      <c r="AB26" s="62">
        <f>NPV(Assumptions!$D$16,F26:Z26)</f>
        <v>-1658885.8623003138</v>
      </c>
    </row>
    <row r="27" spans="2:28" x14ac:dyDescent="0.3">
      <c r="C27" s="106" t="s">
        <v>12</v>
      </c>
      <c r="D27" s="23"/>
      <c r="E27" s="23"/>
      <c r="F27" s="23">
        <f t="shared" ref="F27:Y27" si="4">SUM(F19:F26)</f>
        <v>-158000</v>
      </c>
      <c r="G27" s="23">
        <f t="shared" si="4"/>
        <v>165705.20000000001</v>
      </c>
      <c r="H27" s="33">
        <f t="shared" si="4"/>
        <v>130301.45311999998</v>
      </c>
      <c r="I27" s="33">
        <f t="shared" si="4"/>
        <v>123721.22973744001</v>
      </c>
      <c r="J27" s="33">
        <f t="shared" si="4"/>
        <v>101214.02630203847</v>
      </c>
      <c r="K27" s="33">
        <f t="shared" si="4"/>
        <v>80656.034872977805</v>
      </c>
      <c r="L27" s="33">
        <f t="shared" si="4"/>
        <v>76566.773904917791</v>
      </c>
      <c r="M27" s="33">
        <f t="shared" si="4"/>
        <v>58773.864598476546</v>
      </c>
      <c r="N27" s="33">
        <f t="shared" si="4"/>
        <v>42583.855879980692</v>
      </c>
      <c r="O27" s="33">
        <f t="shared" si="4"/>
        <v>27884.139905398304</v>
      </c>
      <c r="P27" s="33">
        <f t="shared" si="4"/>
        <v>14568.993143156476</v>
      </c>
      <c r="Q27" s="33">
        <f t="shared" si="4"/>
        <v>-8746.1233755056746</v>
      </c>
      <c r="R27" s="33">
        <f t="shared" si="4"/>
        <v>-19003.830790009597</v>
      </c>
      <c r="S27" s="33">
        <f t="shared" si="4"/>
        <v>-28183.109316925955</v>
      </c>
      <c r="T27" s="33">
        <f t="shared" si="4"/>
        <v>-45997.754276909167</v>
      </c>
      <c r="U27" s="33">
        <f t="shared" si="4"/>
        <v>-52754.679884623911</v>
      </c>
      <c r="V27" s="33">
        <f t="shared" si="4"/>
        <v>-58683.803478132977</v>
      </c>
      <c r="W27" s="33">
        <f t="shared" si="4"/>
        <v>-72062.64959868585</v>
      </c>
      <c r="X27" s="33">
        <f t="shared" si="4"/>
        <v>-83877.002775014684</v>
      </c>
      <c r="Y27" s="34">
        <f t="shared" si="4"/>
        <v>-79490.235529881422</v>
      </c>
      <c r="Z27" s="19"/>
      <c r="AB27" s="73">
        <f>SUM(AB19:AB26)</f>
        <v>396645.73901945213</v>
      </c>
    </row>
    <row r="28" spans="2:28" x14ac:dyDescent="0.3">
      <c r="J28" s="51"/>
      <c r="K28" s="51"/>
      <c r="L28" s="51"/>
      <c r="M28" s="51"/>
      <c r="N28" s="51"/>
      <c r="O28" s="51"/>
      <c r="P28" s="51"/>
      <c r="Q28" s="51"/>
      <c r="R28" s="51"/>
      <c r="S28" s="51"/>
      <c r="T28" s="51"/>
      <c r="U28" s="51"/>
      <c r="V28" s="51"/>
      <c r="W28" s="51"/>
      <c r="X28" s="51"/>
      <c r="Y28" s="51"/>
    </row>
    <row r="29" spans="2:28" ht="28.2" x14ac:dyDescent="0.3">
      <c r="C29" s="107" t="s">
        <v>14</v>
      </c>
    </row>
    <row r="30" spans="2:28" x14ac:dyDescent="0.3">
      <c r="B30" s="16" t="s">
        <v>1</v>
      </c>
      <c r="C30" s="108" t="s">
        <v>9</v>
      </c>
      <c r="D30" s="25"/>
      <c r="E30" s="25"/>
      <c r="F30" s="25">
        <f>F15*Assumptions!D22</f>
        <v>-8000</v>
      </c>
      <c r="G30" s="25">
        <f>G15*Assumptions!E22</f>
        <v>-7596.8</v>
      </c>
      <c r="H30" s="25">
        <f>H15*Assumptions!F22</f>
        <v>-9017.4016000000029</v>
      </c>
      <c r="I30" s="25">
        <f>I15*Assumptions!G22</f>
        <v>-8562.0228192000013</v>
      </c>
      <c r="J30" s="25">
        <f>J15*Assumptions!H22</f>
        <v>-9755.5688001964809</v>
      </c>
      <c r="K30" s="25">
        <f>K15*Assumptions!I22</f>
        <v>-10805.593188724297</v>
      </c>
      <c r="L30" s="25">
        <f>L15*Assumptions!J22</f>
        <v>-10257.749614055976</v>
      </c>
      <c r="M30" s="25">
        <f>M15*Assumptions!K22</f>
        <v>-11128.779095569529</v>
      </c>
      <c r="N30" s="25">
        <f>N15*Assumptions!L22</f>
        <v>-11883.866757203921</v>
      </c>
      <c r="O30" s="25">
        <f>O15*Assumptions!M22</f>
        <v>-12532.197710291379</v>
      </c>
      <c r="P30" s="25">
        <f>P15*Assumptions!N22</f>
        <v>-13082.361189773168</v>
      </c>
      <c r="Q30" s="25">
        <f>Q15*Assumptions!O22</f>
        <v>-14670.916629880447</v>
      </c>
      <c r="R30" s="25">
        <f>R15*Assumptions!P22</f>
        <v>-14988.936961134321</v>
      </c>
      <c r="S30" s="25">
        <f>S15*Assumptions!Q22</f>
        <v>-15234.113144284302</v>
      </c>
      <c r="T30" s="25">
        <f>T15*Assumptions!R22</f>
        <v>-16376.163826334148</v>
      </c>
      <c r="U30" s="25">
        <f>U15*Assumptions!S22</f>
        <v>-16443.017106895768</v>
      </c>
      <c r="V30" s="25">
        <f>V15*Assumptions!T22</f>
        <v>-16457.450421911824</v>
      </c>
      <c r="W30" s="25">
        <f>W15*Assumptions!U22</f>
        <v>-17245.7622971214</v>
      </c>
      <c r="X30" s="25">
        <f>X15*Assumptions!V22</f>
        <v>-17904.139803483413</v>
      </c>
      <c r="Y30" s="26">
        <f>Y15*Assumptions!W22</f>
        <v>-16967.75329176123</v>
      </c>
      <c r="Z30" s="19"/>
    </row>
    <row r="31" spans="2:28" x14ac:dyDescent="0.3">
      <c r="B31" s="16"/>
      <c r="C31" s="109"/>
      <c r="D31" s="19"/>
      <c r="E31" s="19"/>
      <c r="F31" s="19"/>
      <c r="G31" s="19"/>
      <c r="H31" s="19"/>
      <c r="I31" s="19"/>
      <c r="J31" s="19"/>
      <c r="K31" s="19"/>
      <c r="L31" s="19"/>
      <c r="M31" s="19"/>
      <c r="N31" s="19"/>
      <c r="O31" s="19"/>
      <c r="P31" s="19"/>
      <c r="Q31" s="19"/>
      <c r="R31" s="19"/>
      <c r="S31" s="19"/>
      <c r="T31" s="19"/>
      <c r="U31" s="19"/>
      <c r="V31" s="19"/>
      <c r="W31" s="19"/>
      <c r="X31" s="19"/>
      <c r="Y31" s="19"/>
    </row>
    <row r="32" spans="2:28" ht="28.2" x14ac:dyDescent="0.3">
      <c r="B32" s="16"/>
      <c r="C32" s="107" t="s">
        <v>15</v>
      </c>
      <c r="D32" s="19"/>
      <c r="E32" s="19"/>
      <c r="F32" s="19"/>
      <c r="G32" s="19"/>
      <c r="H32" s="19"/>
      <c r="I32" s="19"/>
      <c r="J32" s="19"/>
      <c r="K32" s="19"/>
      <c r="L32" s="19"/>
      <c r="M32" s="19"/>
      <c r="N32" s="19"/>
      <c r="O32" s="19"/>
      <c r="P32" s="19"/>
      <c r="Q32" s="19"/>
      <c r="R32" s="19"/>
      <c r="S32" s="19"/>
      <c r="T32" s="19"/>
      <c r="U32" s="19"/>
      <c r="V32" s="19"/>
      <c r="W32" s="19"/>
      <c r="X32" s="19"/>
      <c r="Y32" s="19"/>
    </row>
    <row r="33" spans="2:26" x14ac:dyDescent="0.3">
      <c r="B33" s="16" t="s">
        <v>1</v>
      </c>
      <c r="C33" s="108" t="s">
        <v>9</v>
      </c>
      <c r="D33" s="25"/>
      <c r="E33" s="25"/>
      <c r="F33" s="25">
        <f>F30</f>
        <v>-8000</v>
      </c>
      <c r="G33" s="25">
        <f t="shared" ref="G33:Y33" si="5">G30</f>
        <v>-7596.8</v>
      </c>
      <c r="H33" s="25">
        <f t="shared" si="5"/>
        <v>-9017.4016000000029</v>
      </c>
      <c r="I33" s="25">
        <f t="shared" si="5"/>
        <v>-8562.0228192000013</v>
      </c>
      <c r="J33" s="25">
        <f t="shared" si="5"/>
        <v>-9755.5688001964809</v>
      </c>
      <c r="K33" s="25">
        <f t="shared" si="5"/>
        <v>-10805.593188724297</v>
      </c>
      <c r="L33" s="25">
        <f t="shared" si="5"/>
        <v>-10257.749614055976</v>
      </c>
      <c r="M33" s="25">
        <f t="shared" si="5"/>
        <v>-11128.779095569529</v>
      </c>
      <c r="N33" s="25">
        <f t="shared" si="5"/>
        <v>-11883.866757203921</v>
      </c>
      <c r="O33" s="25">
        <f t="shared" si="5"/>
        <v>-12532.197710291379</v>
      </c>
      <c r="P33" s="25">
        <f t="shared" si="5"/>
        <v>-13082.361189773168</v>
      </c>
      <c r="Q33" s="25">
        <f t="shared" si="5"/>
        <v>-14670.916629880447</v>
      </c>
      <c r="R33" s="25">
        <f t="shared" si="5"/>
        <v>-14988.936961134321</v>
      </c>
      <c r="S33" s="25">
        <f t="shared" si="5"/>
        <v>-15234.113144284302</v>
      </c>
      <c r="T33" s="25">
        <f t="shared" si="5"/>
        <v>-16376.163826334148</v>
      </c>
      <c r="U33" s="25">
        <f t="shared" si="5"/>
        <v>-16443.017106895768</v>
      </c>
      <c r="V33" s="25">
        <f t="shared" si="5"/>
        <v>-16457.450421911824</v>
      </c>
      <c r="W33" s="25">
        <f t="shared" si="5"/>
        <v>-17245.7622971214</v>
      </c>
      <c r="X33" s="25">
        <f t="shared" si="5"/>
        <v>-17904.139803483413</v>
      </c>
      <c r="Y33" s="26">
        <f t="shared" si="5"/>
        <v>-16967.75329176123</v>
      </c>
      <c r="Z33" s="19"/>
    </row>
    <row r="34" spans="2:26" x14ac:dyDescent="0.3">
      <c r="C34" s="62"/>
    </row>
    <row r="35" spans="2:26" x14ac:dyDescent="0.3">
      <c r="C35" s="73" t="s">
        <v>57</v>
      </c>
    </row>
    <row r="36" spans="2:26" x14ac:dyDescent="0.3">
      <c r="C36" s="110" t="s">
        <v>67</v>
      </c>
      <c r="D36" s="17"/>
      <c r="E36" s="17"/>
      <c r="F36" s="17">
        <f>Assumptions!D7</f>
        <v>1000</v>
      </c>
      <c r="G36" s="17">
        <f>F39</f>
        <v>949.6</v>
      </c>
      <c r="H36" s="17">
        <f t="shared" ref="H36:Y36" si="6">G39</f>
        <v>901.74016000000006</v>
      </c>
      <c r="I36" s="17">
        <f t="shared" si="6"/>
        <v>856.20228192000013</v>
      </c>
      <c r="J36" s="17">
        <f t="shared" si="6"/>
        <v>812.96406668304007</v>
      </c>
      <c r="K36" s="17">
        <f t="shared" si="6"/>
        <v>771.82808490887828</v>
      </c>
      <c r="L36" s="17">
        <f t="shared" si="6"/>
        <v>732.69640100399818</v>
      </c>
      <c r="M36" s="17">
        <f t="shared" si="6"/>
        <v>695.54869347309545</v>
      </c>
      <c r="N36" s="17">
        <f t="shared" si="6"/>
        <v>660.2148198446622</v>
      </c>
      <c r="O36" s="17">
        <f t="shared" si="6"/>
        <v>626.60988551456887</v>
      </c>
      <c r="P36" s="17">
        <f t="shared" si="6"/>
        <v>594.65278135332585</v>
      </c>
      <c r="Q36" s="17">
        <f t="shared" si="6"/>
        <v>564.266024226171</v>
      </c>
      <c r="R36" s="17">
        <f t="shared" si="6"/>
        <v>535.31917718336842</v>
      </c>
      <c r="S36" s="17">
        <f t="shared" si="6"/>
        <v>507.80377147614331</v>
      </c>
      <c r="T36" s="17">
        <f t="shared" si="6"/>
        <v>481.65187724512191</v>
      </c>
      <c r="U36" s="17">
        <f t="shared" si="6"/>
        <v>456.75047519154913</v>
      </c>
      <c r="V36" s="17">
        <f t="shared" si="6"/>
        <v>433.09080057662692</v>
      </c>
      <c r="W36" s="17">
        <f t="shared" si="6"/>
        <v>410.61338802670002</v>
      </c>
      <c r="X36" s="17">
        <f t="shared" si="6"/>
        <v>389.22043051050895</v>
      </c>
      <c r="Y36" s="18">
        <f t="shared" si="6"/>
        <v>368.86420199480932</v>
      </c>
      <c r="Z36" s="19"/>
    </row>
    <row r="37" spans="2:26" x14ac:dyDescent="0.3">
      <c r="C37" s="104" t="s">
        <v>55</v>
      </c>
      <c r="D37" s="19"/>
      <c r="E37" s="19"/>
      <c r="F37" s="20">
        <f>F36*Assumptions!D20</f>
        <v>0.4</v>
      </c>
      <c r="G37" s="20">
        <f>G36*Assumptions!E20</f>
        <v>0.37984000000000001</v>
      </c>
      <c r="H37" s="20">
        <f>H36*Assumptions!F20</f>
        <v>0.45087008000000006</v>
      </c>
      <c r="I37" s="20">
        <f>I36*Assumptions!G20</f>
        <v>0.42810114096000007</v>
      </c>
      <c r="J37" s="20">
        <f>J36*Assumptions!H20</f>
        <v>0.48777844000982407</v>
      </c>
      <c r="K37" s="20">
        <f>K36*Assumptions!I20</f>
        <v>0.54027965943621481</v>
      </c>
      <c r="L37" s="20">
        <f>L36*Assumptions!J20</f>
        <v>0.51288748070279877</v>
      </c>
      <c r="M37" s="20">
        <f>M36*Assumptions!K20</f>
        <v>0.55643895477847638</v>
      </c>
      <c r="N37" s="20">
        <f>N36*Assumptions!L20</f>
        <v>0.59419333786019601</v>
      </c>
      <c r="O37" s="20">
        <f>O36*Assumptions!M20</f>
        <v>0.62660988551456887</v>
      </c>
      <c r="P37" s="20">
        <f>P36*Assumptions!N20</f>
        <v>0.65411805948865842</v>
      </c>
      <c r="Q37" s="20">
        <f>Q36*Assumptions!O20</f>
        <v>0.7335458314940223</v>
      </c>
      <c r="R37" s="20">
        <f>R36*Assumptions!P20</f>
        <v>0.74944684805671591</v>
      </c>
      <c r="S37" s="20">
        <f>S36*Assumptions!Q20</f>
        <v>0.76170565721421502</v>
      </c>
      <c r="T37" s="20">
        <f>T36*Assumptions!R20</f>
        <v>0.81880819131670735</v>
      </c>
      <c r="U37" s="20">
        <f>U36*Assumptions!S20</f>
        <v>0.82215085534478838</v>
      </c>
      <c r="V37" s="20">
        <f>V36*Assumptions!T20</f>
        <v>0.82287252109559117</v>
      </c>
      <c r="W37" s="20">
        <f>W36*Assumptions!U20</f>
        <v>0.86228811485607004</v>
      </c>
      <c r="X37" s="20">
        <f>X36*Assumptions!V20</f>
        <v>0.8952069901741706</v>
      </c>
      <c r="Y37" s="21">
        <f>Y36*Assumptions!W20</f>
        <v>0.84838766458806147</v>
      </c>
      <c r="Z37" s="20"/>
    </row>
    <row r="38" spans="2:26" x14ac:dyDescent="0.3">
      <c r="C38" s="104" t="s">
        <v>56</v>
      </c>
      <c r="D38" s="19"/>
      <c r="E38" s="19"/>
      <c r="F38" s="19">
        <f>F36*Assumptions!D19</f>
        <v>50</v>
      </c>
      <c r="G38" s="19">
        <f>G36*Assumptions!E19</f>
        <v>47.480000000000004</v>
      </c>
      <c r="H38" s="19">
        <f>H36*Assumptions!F19</f>
        <v>45.087008000000004</v>
      </c>
      <c r="I38" s="19">
        <f>I36*Assumptions!G19</f>
        <v>42.810114096000007</v>
      </c>
      <c r="J38" s="19">
        <f>J36*Assumptions!H19</f>
        <v>40.648203334152008</v>
      </c>
      <c r="K38" s="19">
        <f>K36*Assumptions!I19</f>
        <v>38.591404245443918</v>
      </c>
      <c r="L38" s="19">
        <f>L36*Assumptions!J19</f>
        <v>36.634820050199913</v>
      </c>
      <c r="M38" s="19">
        <f>M36*Assumptions!K19</f>
        <v>34.777434673654774</v>
      </c>
      <c r="N38" s="19">
        <f>N36*Assumptions!L19</f>
        <v>33.01074099223311</v>
      </c>
      <c r="O38" s="19">
        <f>O36*Assumptions!M19</f>
        <v>31.330494275728444</v>
      </c>
      <c r="P38" s="19">
        <f>P36*Assumptions!N19</f>
        <v>29.732639067666295</v>
      </c>
      <c r="Q38" s="19">
        <f>Q36*Assumptions!O19</f>
        <v>28.213301211308551</v>
      </c>
      <c r="R38" s="19">
        <f>R36*Assumptions!P19</f>
        <v>26.765958859168421</v>
      </c>
      <c r="S38" s="19">
        <f>S36*Assumptions!Q19</f>
        <v>25.390188573807166</v>
      </c>
      <c r="T38" s="19">
        <f>T36*Assumptions!R19</f>
        <v>24.082593862256097</v>
      </c>
      <c r="U38" s="19">
        <f>U36*Assumptions!S19</f>
        <v>22.837523759577458</v>
      </c>
      <c r="V38" s="19">
        <f>V36*Assumptions!T19</f>
        <v>21.654540028831349</v>
      </c>
      <c r="W38" s="19">
        <f>W36*Assumptions!U19</f>
        <v>20.530669401335004</v>
      </c>
      <c r="X38" s="19">
        <f>X36*Assumptions!V19</f>
        <v>19.46102152552545</v>
      </c>
      <c r="Y38" s="22">
        <f>Y36*Assumptions!W19</f>
        <v>368.86420199480932</v>
      </c>
      <c r="Z38" s="19"/>
    </row>
    <row r="39" spans="2:26" x14ac:dyDescent="0.3">
      <c r="C39" s="111" t="s">
        <v>68</v>
      </c>
      <c r="D39" s="23"/>
      <c r="E39" s="23"/>
      <c r="F39" s="23">
        <f>F36-F37-F38</f>
        <v>949.6</v>
      </c>
      <c r="G39" s="23">
        <f t="shared" ref="G39:Y39" si="7">G36-G37-G38</f>
        <v>901.74016000000006</v>
      </c>
      <c r="H39" s="23">
        <f t="shared" si="7"/>
        <v>856.20228192000013</v>
      </c>
      <c r="I39" s="23">
        <f t="shared" si="7"/>
        <v>812.96406668304007</v>
      </c>
      <c r="J39" s="23">
        <f t="shared" si="7"/>
        <v>771.82808490887828</v>
      </c>
      <c r="K39" s="23">
        <f t="shared" si="7"/>
        <v>732.69640100399818</v>
      </c>
      <c r="L39" s="23">
        <f t="shared" si="7"/>
        <v>695.54869347309545</v>
      </c>
      <c r="M39" s="23">
        <f t="shared" si="7"/>
        <v>660.2148198446622</v>
      </c>
      <c r="N39" s="23">
        <f t="shared" si="7"/>
        <v>626.60988551456887</v>
      </c>
      <c r="O39" s="23">
        <f t="shared" si="7"/>
        <v>594.65278135332585</v>
      </c>
      <c r="P39" s="23">
        <f t="shared" si="7"/>
        <v>564.266024226171</v>
      </c>
      <c r="Q39" s="23">
        <f t="shared" si="7"/>
        <v>535.31917718336842</v>
      </c>
      <c r="R39" s="23">
        <f t="shared" si="7"/>
        <v>507.80377147614331</v>
      </c>
      <c r="S39" s="23">
        <f t="shared" si="7"/>
        <v>481.65187724512191</v>
      </c>
      <c r="T39" s="23">
        <f t="shared" si="7"/>
        <v>456.75047519154913</v>
      </c>
      <c r="U39" s="23">
        <f t="shared" si="7"/>
        <v>433.09080057662692</v>
      </c>
      <c r="V39" s="23">
        <f t="shared" si="7"/>
        <v>410.61338802670002</v>
      </c>
      <c r="W39" s="23">
        <f t="shared" si="7"/>
        <v>389.22043051050895</v>
      </c>
      <c r="X39" s="23">
        <f t="shared" si="7"/>
        <v>368.86420199480932</v>
      </c>
      <c r="Y39" s="24">
        <f t="shared" si="7"/>
        <v>-0.84838766458807413</v>
      </c>
      <c r="Z39" s="19"/>
    </row>
    <row r="40" spans="2:26" x14ac:dyDescent="0.3">
      <c r="C40" s="62"/>
    </row>
    <row r="41" spans="2:26" ht="27.6" x14ac:dyDescent="0.3">
      <c r="C41" s="81" t="s">
        <v>16</v>
      </c>
    </row>
    <row r="42" spans="2:26" x14ac:dyDescent="0.3">
      <c r="C42" s="102" t="s">
        <v>58</v>
      </c>
      <c r="D42" s="17"/>
      <c r="E42" s="18">
        <f>F8+NPV(Assumptions!D16,'Expense Shock'!G8:Y8)</f>
        <v>2981000.6625720072</v>
      </c>
    </row>
    <row r="43" spans="2:26" x14ac:dyDescent="0.3">
      <c r="C43" s="112" t="s">
        <v>59</v>
      </c>
      <c r="D43" s="19"/>
      <c r="E43" s="22">
        <f>F10+NPV(Assumptions!D16,'Expense Shock'!G10:Y10)</f>
        <v>-133550.03312860033</v>
      </c>
    </row>
    <row r="44" spans="2:26" x14ac:dyDescent="0.3">
      <c r="C44" s="112" t="s">
        <v>60</v>
      </c>
      <c r="D44" s="19"/>
      <c r="E44" s="22">
        <f>NPV(Assumptions!D16,F12:Y12)</f>
        <v>-231156.99926892118</v>
      </c>
    </row>
    <row r="45" spans="2:26" x14ac:dyDescent="0.3">
      <c r="C45" s="112" t="s">
        <v>62</v>
      </c>
      <c r="D45" s="19"/>
      <c r="E45" s="22">
        <f>NPV(Assumptions!D16,F15:Y15)</f>
        <v>-1658885.8623003138</v>
      </c>
    </row>
    <row r="46" spans="2:26" x14ac:dyDescent="0.3">
      <c r="C46" s="112" t="s">
        <v>61</v>
      </c>
      <c r="D46" s="19"/>
      <c r="E46" s="22">
        <f>F9+F11</f>
        <v>-288000</v>
      </c>
    </row>
    <row r="47" spans="2:26" x14ac:dyDescent="0.3">
      <c r="C47" s="112" t="s">
        <v>63</v>
      </c>
      <c r="D47" s="19"/>
      <c r="E47" s="27">
        <f>NPV(Assumptions!D16,F30:Y30)</f>
        <v>-165888.58623003133</v>
      </c>
    </row>
    <row r="48" spans="2:26" x14ac:dyDescent="0.3">
      <c r="C48" s="95" t="s">
        <v>12</v>
      </c>
      <c r="D48" s="19"/>
      <c r="E48" s="22">
        <f>SUM(E42:E47)</f>
        <v>503519.18164414086</v>
      </c>
    </row>
    <row r="49" spans="3:25" ht="28.2" x14ac:dyDescent="0.3">
      <c r="C49" s="84" t="s">
        <v>17</v>
      </c>
      <c r="D49" s="19"/>
      <c r="E49" s="22">
        <f>MAX(0,E48)</f>
        <v>503519.18164414086</v>
      </c>
    </row>
    <row r="50" spans="3:25" ht="27.6" x14ac:dyDescent="0.3">
      <c r="C50" s="85" t="s">
        <v>28</v>
      </c>
      <c r="D50" s="23"/>
      <c r="E50" s="24">
        <f>-E48+E49</f>
        <v>0</v>
      </c>
    </row>
    <row r="51" spans="3:25" x14ac:dyDescent="0.3">
      <c r="C51" s="6"/>
    </row>
    <row r="52" spans="3:25" ht="28.2" x14ac:dyDescent="0.3">
      <c r="C52" s="65" t="s">
        <v>64</v>
      </c>
    </row>
    <row r="53" spans="3:25" x14ac:dyDescent="0.3">
      <c r="C53" s="113" t="s">
        <v>65</v>
      </c>
      <c r="D53" s="17"/>
      <c r="E53" s="17"/>
      <c r="F53" s="17">
        <v>0</v>
      </c>
      <c r="G53" s="17">
        <f>F61</f>
        <v>-778304.07858913904</v>
      </c>
      <c r="H53" s="17">
        <f t="shared" ref="H53:X53" si="8">G61</f>
        <v>-618300.75373270467</v>
      </c>
      <c r="I53" s="17">
        <f t="shared" si="8"/>
        <v>-479565.32767721289</v>
      </c>
      <c r="J53" s="17">
        <f t="shared" si="8"/>
        <v>-343535.59111784375</v>
      </c>
      <c r="K53" s="35">
        <f t="shared" si="8"/>
        <v>-162834.6965730321</v>
      </c>
      <c r="L53" s="35">
        <f t="shared" si="8"/>
        <v>-68022.493449115835</v>
      </c>
      <c r="M53" s="35">
        <f t="shared" si="8"/>
        <v>25444.990336724397</v>
      </c>
      <c r="N53" s="35">
        <f t="shared" si="8"/>
        <v>103863.44855987946</v>
      </c>
      <c r="O53" s="35">
        <f t="shared" si="8"/>
        <v>168282.3952576954</v>
      </c>
      <c r="P53" s="35">
        <f t="shared" si="8"/>
        <v>219678.44370748167</v>
      </c>
      <c r="Q53" s="35">
        <f t="shared" si="8"/>
        <v>258959.3760835795</v>
      </c>
      <c r="R53" s="35">
        <f t="shared" si="8"/>
        <v>275682.67188019393</v>
      </c>
      <c r="S53" s="35">
        <f t="shared" si="8"/>
        <v>282041.99553036265</v>
      </c>
      <c r="T53" s="35">
        <f t="shared" si="8"/>
        <v>278739.55103478226</v>
      </c>
      <c r="U53" s="35">
        <f t="shared" si="8"/>
        <v>256790.01607188879</v>
      </c>
      <c r="V53" s="35">
        <f t="shared" si="8"/>
        <v>226538.7145557701</v>
      </c>
      <c r="W53" s="35">
        <f t="shared" si="8"/>
        <v>188514.63129930996</v>
      </c>
      <c r="X53" s="35">
        <f t="shared" si="8"/>
        <v>134988.79348395154</v>
      </c>
      <c r="Y53" s="36">
        <f>X61</f>
        <v>66934.665577366351</v>
      </c>
    </row>
    <row r="54" spans="3:25" ht="28.2" x14ac:dyDescent="0.3">
      <c r="C54" s="114" t="s">
        <v>27</v>
      </c>
      <c r="D54" s="19"/>
      <c r="E54" s="19"/>
      <c r="F54" s="19">
        <f>SUM(E42:E46)*-1</f>
        <v>-669407.76787417219</v>
      </c>
      <c r="G54" s="19">
        <v>0</v>
      </c>
      <c r="H54" s="19">
        <v>0</v>
      </c>
      <c r="I54" s="19">
        <v>0</v>
      </c>
      <c r="J54" s="19">
        <v>0</v>
      </c>
      <c r="K54" s="19">
        <v>0</v>
      </c>
      <c r="L54" s="19">
        <v>0</v>
      </c>
      <c r="M54" s="19">
        <v>0</v>
      </c>
      <c r="N54" s="19">
        <v>0</v>
      </c>
      <c r="O54" s="19">
        <v>0</v>
      </c>
      <c r="P54" s="19">
        <v>0</v>
      </c>
      <c r="Q54" s="19">
        <v>0</v>
      </c>
      <c r="R54" s="19">
        <v>0</v>
      </c>
      <c r="S54" s="19">
        <v>0</v>
      </c>
      <c r="T54" s="19">
        <v>0</v>
      </c>
      <c r="U54" s="19">
        <v>0</v>
      </c>
      <c r="V54" s="19">
        <v>0</v>
      </c>
      <c r="W54" s="19">
        <v>0</v>
      </c>
      <c r="X54" s="19">
        <v>0</v>
      </c>
      <c r="Y54" s="22">
        <v>0</v>
      </c>
    </row>
    <row r="55" spans="3:25" ht="28.2" x14ac:dyDescent="0.3">
      <c r="C55" s="114" t="s">
        <v>32</v>
      </c>
      <c r="D55" s="19"/>
      <c r="E55" s="19"/>
      <c r="F55" s="19">
        <v>0</v>
      </c>
      <c r="G55" s="19">
        <v>0</v>
      </c>
      <c r="H55" s="19">
        <v>0</v>
      </c>
      <c r="I55" s="19">
        <v>0</v>
      </c>
      <c r="J55" s="29">
        <f>-NPV(Assumptions!H16,K23:Y23)--NPV(Assumptions!H16,K12:Y12)</f>
        <v>63327.47351488471</v>
      </c>
      <c r="K55" s="19">
        <v>0</v>
      </c>
      <c r="L55" s="19">
        <v>0</v>
      </c>
      <c r="M55" s="19">
        <v>0</v>
      </c>
      <c r="N55" s="19">
        <v>0</v>
      </c>
      <c r="O55" s="19">
        <v>0</v>
      </c>
      <c r="P55" s="19">
        <v>0</v>
      </c>
      <c r="Q55" s="19">
        <v>0</v>
      </c>
      <c r="R55" s="19">
        <v>0</v>
      </c>
      <c r="S55" s="19">
        <v>0</v>
      </c>
      <c r="T55" s="19">
        <v>0</v>
      </c>
      <c r="U55" s="19">
        <v>0</v>
      </c>
      <c r="V55" s="19">
        <v>0</v>
      </c>
      <c r="W55" s="19">
        <v>0</v>
      </c>
      <c r="X55" s="19">
        <v>0</v>
      </c>
      <c r="Y55" s="22">
        <v>0</v>
      </c>
    </row>
    <row r="56" spans="3:25" ht="27.6" x14ac:dyDescent="0.3">
      <c r="C56" s="115" t="s">
        <v>30</v>
      </c>
      <c r="D56" s="19"/>
      <c r="E56" s="19"/>
      <c r="F56" s="19">
        <f>F8</f>
        <v>310000</v>
      </c>
      <c r="G56" s="19">
        <f>G8</f>
        <v>294376</v>
      </c>
      <c r="H56" s="19">
        <f t="shared" ref="H56:X56" si="9">H8</f>
        <v>279539.44959999999</v>
      </c>
      <c r="I56" s="19">
        <f t="shared" si="9"/>
        <v>265422.70739520004</v>
      </c>
      <c r="J56" s="19">
        <f t="shared" si="9"/>
        <v>252018.86067174241</v>
      </c>
      <c r="K56" s="19">
        <f t="shared" si="9"/>
        <v>239266.70632175228</v>
      </c>
      <c r="L56" s="19">
        <f t="shared" si="9"/>
        <v>227135.88431123944</v>
      </c>
      <c r="M56" s="19">
        <f t="shared" si="9"/>
        <v>215620.0949766596</v>
      </c>
      <c r="N56" s="19">
        <f t="shared" si="9"/>
        <v>204666.59415184529</v>
      </c>
      <c r="O56" s="19">
        <f t="shared" si="9"/>
        <v>194249.06450951635</v>
      </c>
      <c r="P56" s="19">
        <f t="shared" si="9"/>
        <v>184342.362219531</v>
      </c>
      <c r="Q56" s="19">
        <f t="shared" si="9"/>
        <v>174922.467510113</v>
      </c>
      <c r="R56" s="19">
        <f t="shared" si="9"/>
        <v>165948.94492684421</v>
      </c>
      <c r="S56" s="19">
        <f t="shared" si="9"/>
        <v>157419.16915760442</v>
      </c>
      <c r="T56" s="19">
        <f t="shared" si="9"/>
        <v>149312.0819459878</v>
      </c>
      <c r="U56" s="19">
        <f t="shared" si="9"/>
        <v>141592.64730938023</v>
      </c>
      <c r="V56" s="19">
        <f t="shared" si="9"/>
        <v>134258.14817875435</v>
      </c>
      <c r="W56" s="19">
        <f t="shared" si="9"/>
        <v>127290.150288277</v>
      </c>
      <c r="X56" s="19">
        <f t="shared" si="9"/>
        <v>120658.33345825778</v>
      </c>
      <c r="Y56" s="22">
        <f>Y8</f>
        <v>114347.90261839089</v>
      </c>
    </row>
    <row r="57" spans="3:25" ht="28.2" x14ac:dyDescent="0.3">
      <c r="C57" s="114" t="s">
        <v>31</v>
      </c>
      <c r="D57" s="19"/>
      <c r="E57" s="19"/>
      <c r="F57" s="19">
        <f>SUM(F9:F12,F15)</f>
        <v>-393000</v>
      </c>
      <c r="G57" s="19">
        <f>SUM(G9:G12,G15)</f>
        <v>-114426.8</v>
      </c>
      <c r="H57" s="19">
        <f t="shared" ref="H57:J57" si="10">SUM(H9:H12,H15)</f>
        <v>-126694.49248000002</v>
      </c>
      <c r="I57" s="19">
        <f t="shared" si="10"/>
        <v>-120296.42060976001</v>
      </c>
      <c r="J57" s="19">
        <f t="shared" si="10"/>
        <v>-130480.73270262792</v>
      </c>
      <c r="K57" s="29">
        <f>SUM(K9:K11,K15)+K23</f>
        <v>-147033.25017514132</v>
      </c>
      <c r="L57" s="29">
        <f t="shared" ref="L57:Y57" si="11">SUM(L9:L11,L15)+L23</f>
        <v>-139578.66439126167</v>
      </c>
      <c r="M57" s="29">
        <f t="shared" si="11"/>
        <v>-146412.9999760866</v>
      </c>
      <c r="N57" s="29">
        <f t="shared" si="11"/>
        <v>-152179.51597419466</v>
      </c>
      <c r="O57" s="29">
        <f t="shared" si="11"/>
        <v>-156965.77632139952</v>
      </c>
      <c r="P57" s="29">
        <f t="shared" si="11"/>
        <v>-160853.57735607465</v>
      </c>
      <c r="Q57" s="29">
        <f t="shared" si="11"/>
        <v>-175204.60052222607</v>
      </c>
      <c r="R57" s="29">
        <f t="shared" si="11"/>
        <v>-176922.98805910329</v>
      </c>
      <c r="S57" s="29">
        <f t="shared" si="11"/>
        <v>-177985.22190238824</v>
      </c>
      <c r="T57" s="29">
        <f t="shared" si="11"/>
        <v>-188085.05806422012</v>
      </c>
      <c r="U57" s="29">
        <f t="shared" si="11"/>
        <v>-187496.07006613092</v>
      </c>
      <c r="V57" s="29">
        <f t="shared" si="11"/>
        <v>-186445.58964823792</v>
      </c>
      <c r="W57" s="29">
        <f t="shared" si="11"/>
        <v>-193193.59906656237</v>
      </c>
      <c r="X57" s="29">
        <f t="shared" si="11"/>
        <v>-198697.02977561482</v>
      </c>
      <c r="Y57" s="32">
        <f t="shared" si="11"/>
        <v>-188305.17511835016</v>
      </c>
    </row>
    <row r="58" spans="3:25" ht="27.6" x14ac:dyDescent="0.3">
      <c r="C58" s="115" t="s">
        <v>29</v>
      </c>
      <c r="D58" s="19"/>
      <c r="E58" s="19"/>
      <c r="F58" s="19">
        <f>(F53+F54)*Assumptions!D16+SUM(F8:F11)*Assumptions!D16</f>
        <v>-25896.310714966887</v>
      </c>
      <c r="G58" s="19">
        <f>(G53+G54)*Assumptions!E16+SUM(G8:G11)*Assumptions!E16</f>
        <v>-19945.875143565561</v>
      </c>
      <c r="H58" s="19">
        <f>(H53+H54)*Assumptions!F16+SUM(H8:H11)*Assumptions!F16</f>
        <v>-14109.531064508186</v>
      </c>
      <c r="I58" s="19">
        <f>(I53+I54)*Assumptions!G16+SUM(I8:I11)*Assumptions!G16</f>
        <v>-9096.5502260709163</v>
      </c>
      <c r="J58" s="19">
        <f>(J53+J54)*Assumptions!H16+SUM(J8:J11)*Assumptions!H16</f>
        <v>-4164.7069391875393</v>
      </c>
      <c r="K58" s="29">
        <f>(K53+K54)*Assumptions!I16+SUM(K8:K11)*Assumptions!I16</f>
        <v>2578.7469773053026</v>
      </c>
      <c r="L58" s="29">
        <f>(L53+L54)*Assumptions!J16+SUM(L8:L11)*Assumptions!J16</f>
        <v>5910.2638658624655</v>
      </c>
      <c r="M58" s="29">
        <f>(M53+M54)*Assumptions!K16+SUM(M8:M11)*Assumptions!K16</f>
        <v>9211.363222582042</v>
      </c>
      <c r="N58" s="29">
        <f>(N53+N54)*Assumptions!L16+SUM(N8:N11)*Assumptions!L16</f>
        <v>11931.868520165299</v>
      </c>
      <c r="O58" s="29">
        <f>(O53+O54)*Assumptions!M16+SUM(O8:O11)*Assumptions!M16</f>
        <v>14112.760261669438</v>
      </c>
      <c r="P58" s="29">
        <f>(P53+P54)*Assumptions!N16+SUM(P8:P11)*Assumptions!N16</f>
        <v>15792.147512641444</v>
      </c>
      <c r="Q58" s="29">
        <f>(Q53+Q54)*Assumptions!O16+SUM(Q8:Q11)*Assumptions!O16</f>
        <v>17005.428808727473</v>
      </c>
      <c r="R58" s="29">
        <f>(R53+R54)*Assumptions!P16+SUM(R8:R11)*Assumptions!P16</f>
        <v>17333.366782427838</v>
      </c>
      <c r="S58" s="29">
        <f>(S53+S54)*Assumptions!Q16+SUM(S8:S11)*Assumptions!Q16</f>
        <v>17263.608249203473</v>
      </c>
      <c r="T58" s="29">
        <f>(T53+T54)*Assumptions!R16+SUM(T8:T11)*Assumptions!R16</f>
        <v>16823.441155338827</v>
      </c>
      <c r="U58" s="29">
        <f>(U53+U54)*Assumptions!S16+SUM(U8:U11)*Assumptions!S16</f>
        <v>15652.121240632001</v>
      </c>
      <c r="V58" s="29">
        <f>(V53+V54)*Assumptions!T16+SUM(V8:V11)*Assumptions!T16</f>
        <v>14163.358213023468</v>
      </c>
      <c r="W58" s="29">
        <f>(W53+W54)*Assumptions!U16+SUM(W8:W11)*Assumptions!U16</f>
        <v>12377.610962926925</v>
      </c>
      <c r="X58" s="29">
        <f>(X53+X54)*Assumptions!V16+SUM(X8:X11)*Assumptions!V16</f>
        <v>9984.5684107718571</v>
      </c>
      <c r="Y58" s="32">
        <f>(Y53+Y54)*Assumptions!W16+SUM(Y8:Y11)*Assumptions!W16</f>
        <v>7022.606922593508</v>
      </c>
    </row>
    <row r="59" spans="3:25" ht="27.6" x14ac:dyDescent="0.3">
      <c r="C59" s="115" t="s">
        <v>18</v>
      </c>
      <c r="D59" s="19"/>
      <c r="E59" s="19"/>
      <c r="F59" s="19">
        <v>0</v>
      </c>
      <c r="G59" s="19">
        <v>0</v>
      </c>
      <c r="H59" s="19">
        <v>0</v>
      </c>
      <c r="I59" s="19">
        <v>0</v>
      </c>
      <c r="J59" s="19">
        <v>0</v>
      </c>
      <c r="K59" s="19">
        <v>0</v>
      </c>
      <c r="L59" s="19">
        <v>0</v>
      </c>
      <c r="M59" s="19">
        <v>0</v>
      </c>
      <c r="N59" s="19">
        <v>0</v>
      </c>
      <c r="O59" s="19">
        <v>0</v>
      </c>
      <c r="P59" s="19">
        <v>0</v>
      </c>
      <c r="Q59" s="19">
        <v>0</v>
      </c>
      <c r="R59" s="19">
        <v>0</v>
      </c>
      <c r="S59" s="19">
        <v>0</v>
      </c>
      <c r="T59" s="19">
        <v>0</v>
      </c>
      <c r="U59" s="19">
        <v>0</v>
      </c>
      <c r="V59" s="19">
        <v>0</v>
      </c>
      <c r="W59" s="19">
        <v>0</v>
      </c>
      <c r="X59" s="19">
        <v>0</v>
      </c>
      <c r="Y59" s="22">
        <v>0</v>
      </c>
    </row>
    <row r="60" spans="3:25" ht="28.2" x14ac:dyDescent="0.3">
      <c r="C60" s="114" t="s">
        <v>33</v>
      </c>
      <c r="D60" s="19"/>
      <c r="E60" s="19"/>
      <c r="F60" s="19">
        <v>0</v>
      </c>
      <c r="G60" s="19">
        <v>0</v>
      </c>
      <c r="H60" s="19">
        <v>0</v>
      </c>
      <c r="I60" s="19">
        <v>0</v>
      </c>
      <c r="J60" s="19">
        <v>0</v>
      </c>
      <c r="K60" s="19">
        <v>0</v>
      </c>
      <c r="L60" s="19">
        <v>0</v>
      </c>
      <c r="M60" s="19">
        <v>0</v>
      </c>
      <c r="N60" s="19">
        <v>0</v>
      </c>
      <c r="O60" s="19">
        <v>0</v>
      </c>
      <c r="P60" s="19">
        <v>0</v>
      </c>
      <c r="Q60" s="19">
        <v>0</v>
      </c>
      <c r="R60" s="19">
        <v>0</v>
      </c>
      <c r="S60" s="19">
        <v>0</v>
      </c>
      <c r="T60" s="19">
        <v>0</v>
      </c>
      <c r="U60" s="19">
        <v>0</v>
      </c>
      <c r="V60" s="19">
        <v>0</v>
      </c>
      <c r="W60" s="19">
        <v>0</v>
      </c>
      <c r="X60" s="19">
        <v>0</v>
      </c>
      <c r="Y60" s="22">
        <v>0</v>
      </c>
    </row>
    <row r="61" spans="3:25" x14ac:dyDescent="0.3">
      <c r="C61" s="116" t="s">
        <v>66</v>
      </c>
      <c r="D61" s="23"/>
      <c r="E61" s="23"/>
      <c r="F61" s="23">
        <f>SUM(F53:F60)</f>
        <v>-778304.07858913904</v>
      </c>
      <c r="G61" s="23">
        <f>SUM(G53:G60)</f>
        <v>-618300.75373270467</v>
      </c>
      <c r="H61" s="23">
        <f t="shared" ref="H61:Y61" si="12">SUM(H53:H60)</f>
        <v>-479565.32767721289</v>
      </c>
      <c r="I61" s="23">
        <f t="shared" si="12"/>
        <v>-343535.59111784375</v>
      </c>
      <c r="J61" s="33">
        <f>SUM(J53:J60)</f>
        <v>-162834.6965730321</v>
      </c>
      <c r="K61" s="33">
        <f t="shared" si="12"/>
        <v>-68022.493449115835</v>
      </c>
      <c r="L61" s="33">
        <f t="shared" si="12"/>
        <v>25444.990336724397</v>
      </c>
      <c r="M61" s="33">
        <f t="shared" si="12"/>
        <v>103863.44855987946</v>
      </c>
      <c r="N61" s="33">
        <f t="shared" si="12"/>
        <v>168282.3952576954</v>
      </c>
      <c r="O61" s="33">
        <f t="shared" si="12"/>
        <v>219678.44370748167</v>
      </c>
      <c r="P61" s="33">
        <f t="shared" si="12"/>
        <v>258959.3760835795</v>
      </c>
      <c r="Q61" s="33">
        <f t="shared" si="12"/>
        <v>275682.67188019393</v>
      </c>
      <c r="R61" s="33">
        <f t="shared" si="12"/>
        <v>282041.99553036265</v>
      </c>
      <c r="S61" s="33">
        <f t="shared" si="12"/>
        <v>278739.55103478226</v>
      </c>
      <c r="T61" s="33">
        <f t="shared" si="12"/>
        <v>256790.01607188879</v>
      </c>
      <c r="U61" s="33">
        <f t="shared" si="12"/>
        <v>226538.7145557701</v>
      </c>
      <c r="V61" s="33">
        <f t="shared" si="12"/>
        <v>188514.63129930996</v>
      </c>
      <c r="W61" s="33">
        <f t="shared" si="12"/>
        <v>134988.79348395154</v>
      </c>
      <c r="X61" s="33">
        <f t="shared" si="12"/>
        <v>66934.665577366351</v>
      </c>
      <c r="Y61" s="34">
        <f t="shared" si="12"/>
        <v>5.6934368330985308E-10</v>
      </c>
    </row>
    <row r="62" spans="3:25" x14ac:dyDescent="0.3">
      <c r="C62" s="6"/>
    </row>
    <row r="63" spans="3:25" ht="28.2" x14ac:dyDescent="0.3">
      <c r="C63" s="107" t="s">
        <v>23</v>
      </c>
    </row>
    <row r="64" spans="3:25" ht="28.2" x14ac:dyDescent="0.3">
      <c r="C64" s="117" t="s">
        <v>37</v>
      </c>
      <c r="D64" s="17"/>
      <c r="E64" s="17"/>
      <c r="F64" s="17">
        <v>0</v>
      </c>
      <c r="G64" s="17">
        <f>F72</f>
        <v>164524.12967923257</v>
      </c>
      <c r="H64" s="17">
        <f t="shared" ref="H64:Y64" si="13">G72</f>
        <v>163508.29486640188</v>
      </c>
      <c r="I64" s="17">
        <f t="shared" si="13"/>
        <v>161031.22506105795</v>
      </c>
      <c r="J64" s="17">
        <f t="shared" si="13"/>
        <v>158910.45124430026</v>
      </c>
      <c r="K64" s="17">
        <f t="shared" si="13"/>
        <v>155511.30049387578</v>
      </c>
      <c r="L64" s="17">
        <f t="shared" si="13"/>
        <v>150926.1593249065</v>
      </c>
      <c r="M64" s="17">
        <f t="shared" si="13"/>
        <v>146705.4560838468</v>
      </c>
      <c r="N64" s="17">
        <f t="shared" si="13"/>
        <v>141444.89523163115</v>
      </c>
      <c r="O64" s="17">
        <f t="shared" si="13"/>
        <v>135218.82428369249</v>
      </c>
      <c r="P64" s="17">
        <f t="shared" si="13"/>
        <v>128095.37954474882</v>
      </c>
      <c r="Q64" s="17">
        <f t="shared" si="13"/>
        <v>120136.83353676563</v>
      </c>
      <c r="R64" s="17">
        <f t="shared" si="13"/>
        <v>110271.3902483558</v>
      </c>
      <c r="S64" s="17">
        <f t="shared" si="13"/>
        <v>99693.308897155715</v>
      </c>
      <c r="T64" s="17">
        <f t="shared" si="13"/>
        <v>88446.928108757638</v>
      </c>
      <c r="U64" s="17">
        <f t="shared" si="13"/>
        <v>75608.641406773793</v>
      </c>
      <c r="V64" s="17">
        <f t="shared" si="13"/>
        <v>62189.969956148969</v>
      </c>
      <c r="W64" s="17">
        <f t="shared" si="13"/>
        <v>48220.1183324831</v>
      </c>
      <c r="X64" s="17">
        <f t="shared" si="13"/>
        <v>32903.160768661022</v>
      </c>
      <c r="Y64" s="18">
        <f t="shared" si="13"/>
        <v>16315.147395924054</v>
      </c>
    </row>
    <row r="65" spans="3:25" ht="28.2" x14ac:dyDescent="0.3">
      <c r="C65" s="118" t="s">
        <v>27</v>
      </c>
      <c r="D65" s="19"/>
      <c r="E65" s="19"/>
      <c r="F65" s="19">
        <f>-E47</f>
        <v>165888.58623003133</v>
      </c>
      <c r="G65" s="19">
        <v>0</v>
      </c>
      <c r="H65" s="19">
        <v>0</v>
      </c>
      <c r="I65" s="19">
        <v>0</v>
      </c>
      <c r="J65" s="19">
        <v>0</v>
      </c>
      <c r="K65" s="19">
        <v>0</v>
      </c>
      <c r="L65" s="19">
        <v>0</v>
      </c>
      <c r="M65" s="19">
        <v>0</v>
      </c>
      <c r="N65" s="19">
        <v>0</v>
      </c>
      <c r="O65" s="19">
        <v>0</v>
      </c>
      <c r="P65" s="19">
        <v>0</v>
      </c>
      <c r="Q65" s="19">
        <v>0</v>
      </c>
      <c r="R65" s="19">
        <v>0</v>
      </c>
      <c r="S65" s="19">
        <v>0</v>
      </c>
      <c r="T65" s="19">
        <v>0</v>
      </c>
      <c r="U65" s="19">
        <v>0</v>
      </c>
      <c r="V65" s="19">
        <v>0</v>
      </c>
      <c r="W65" s="19">
        <v>0</v>
      </c>
      <c r="X65" s="19">
        <v>0</v>
      </c>
      <c r="Y65" s="22">
        <v>0</v>
      </c>
    </row>
    <row r="66" spans="3:25" ht="28.2" x14ac:dyDescent="0.3">
      <c r="C66" s="119" t="s">
        <v>32</v>
      </c>
      <c r="D66" s="19"/>
      <c r="E66" s="19"/>
      <c r="F66" s="19">
        <v>0</v>
      </c>
      <c r="G66" s="19">
        <v>0</v>
      </c>
      <c r="H66" s="19">
        <v>0</v>
      </c>
      <c r="I66" s="19">
        <v>0</v>
      </c>
      <c r="J66" s="19">
        <v>0</v>
      </c>
      <c r="K66" s="19">
        <v>0</v>
      </c>
      <c r="L66" s="19">
        <v>0</v>
      </c>
      <c r="M66" s="19">
        <v>0</v>
      </c>
      <c r="N66" s="19">
        <v>0</v>
      </c>
      <c r="O66" s="19">
        <v>0</v>
      </c>
      <c r="P66" s="19">
        <v>0</v>
      </c>
      <c r="Q66" s="19">
        <v>0</v>
      </c>
      <c r="R66" s="19">
        <v>0</v>
      </c>
      <c r="S66" s="19">
        <v>0</v>
      </c>
      <c r="T66" s="19">
        <v>0</v>
      </c>
      <c r="U66" s="19">
        <v>0</v>
      </c>
      <c r="V66" s="19">
        <v>0</v>
      </c>
      <c r="W66" s="19">
        <v>0</v>
      </c>
      <c r="X66" s="19">
        <v>0</v>
      </c>
      <c r="Y66" s="22">
        <v>0</v>
      </c>
    </row>
    <row r="67" spans="3:25" ht="27.6" x14ac:dyDescent="0.3">
      <c r="C67" s="120" t="s">
        <v>30</v>
      </c>
      <c r="D67" s="19"/>
      <c r="E67" s="19"/>
      <c r="F67" s="19">
        <v>0</v>
      </c>
      <c r="G67" s="19">
        <v>0</v>
      </c>
      <c r="H67" s="19">
        <v>0</v>
      </c>
      <c r="I67" s="19">
        <v>0</v>
      </c>
      <c r="J67" s="19">
        <v>0</v>
      </c>
      <c r="K67" s="19">
        <v>0</v>
      </c>
      <c r="L67" s="19">
        <v>0</v>
      </c>
      <c r="M67" s="19">
        <v>0</v>
      </c>
      <c r="N67" s="19">
        <v>0</v>
      </c>
      <c r="O67" s="19">
        <v>0</v>
      </c>
      <c r="P67" s="19">
        <v>0</v>
      </c>
      <c r="Q67" s="19">
        <v>0</v>
      </c>
      <c r="R67" s="19">
        <v>0</v>
      </c>
      <c r="S67" s="19">
        <v>0</v>
      </c>
      <c r="T67" s="19">
        <v>0</v>
      </c>
      <c r="U67" s="19">
        <v>0</v>
      </c>
      <c r="V67" s="19">
        <v>0</v>
      </c>
      <c r="W67" s="19">
        <v>0</v>
      </c>
      <c r="X67" s="19">
        <v>0</v>
      </c>
      <c r="Y67" s="22">
        <v>0</v>
      </c>
    </row>
    <row r="68" spans="3:25" ht="28.2" x14ac:dyDescent="0.3">
      <c r="C68" s="119" t="s">
        <v>31</v>
      </c>
      <c r="D68" s="19"/>
      <c r="E68" s="19"/>
      <c r="F68" s="19">
        <v>0</v>
      </c>
      <c r="G68" s="19">
        <v>0</v>
      </c>
      <c r="H68" s="19">
        <v>0</v>
      </c>
      <c r="I68" s="19">
        <v>0</v>
      </c>
      <c r="J68" s="19">
        <v>0</v>
      </c>
      <c r="K68" s="19">
        <v>0</v>
      </c>
      <c r="L68" s="19">
        <v>0</v>
      </c>
      <c r="M68" s="19">
        <v>0</v>
      </c>
      <c r="N68" s="19">
        <v>0</v>
      </c>
      <c r="O68" s="19">
        <v>0</v>
      </c>
      <c r="P68" s="19">
        <v>0</v>
      </c>
      <c r="Q68" s="19">
        <v>0</v>
      </c>
      <c r="R68" s="19">
        <v>0</v>
      </c>
      <c r="S68" s="19">
        <v>0</v>
      </c>
      <c r="T68" s="19">
        <v>0</v>
      </c>
      <c r="U68" s="19">
        <v>0</v>
      </c>
      <c r="V68" s="19">
        <v>0</v>
      </c>
      <c r="W68" s="19">
        <v>0</v>
      </c>
      <c r="X68" s="19">
        <v>0</v>
      </c>
      <c r="Y68" s="22">
        <v>0</v>
      </c>
    </row>
    <row r="69" spans="3:25" ht="27.6" x14ac:dyDescent="0.3">
      <c r="C69" s="120" t="s">
        <v>29</v>
      </c>
      <c r="D69" s="19"/>
      <c r="E69" s="19"/>
      <c r="F69" s="19">
        <f>(F64+F65)*Assumptions!D16</f>
        <v>6635.5434492012537</v>
      </c>
      <c r="G69" s="19">
        <f>(G64+G65)*Assumptions!E16</f>
        <v>6580.9651871693031</v>
      </c>
      <c r="H69" s="19">
        <f>(H64+H65)*Assumptions!F16</f>
        <v>6540.3317946560755</v>
      </c>
      <c r="I69" s="19">
        <f>(I64+I65)*Assumptions!G16</f>
        <v>6441.2490024423178</v>
      </c>
      <c r="J69" s="19">
        <f>(J64+J65)*Assumptions!H16</f>
        <v>6356.4180497720108</v>
      </c>
      <c r="K69" s="19">
        <f>(K64+K65)*Assumptions!I16</f>
        <v>6220.452019755031</v>
      </c>
      <c r="L69" s="19">
        <f>(L64+L65)*Assumptions!J16</f>
        <v>6037.0463729962603</v>
      </c>
      <c r="M69" s="19">
        <f>(M64+M65)*Assumptions!K16</f>
        <v>5868.2182433538719</v>
      </c>
      <c r="N69" s="19">
        <f>(N64+N65)*Assumptions!L16</f>
        <v>5657.7958092652461</v>
      </c>
      <c r="O69" s="19">
        <f>(O64+O65)*Assumptions!M16</f>
        <v>5408.7529713476997</v>
      </c>
      <c r="P69" s="19">
        <f>(P64+P65)*Assumptions!N16</f>
        <v>5123.8151817899534</v>
      </c>
      <c r="Q69" s="19">
        <f>(Q64+Q65)*Assumptions!O16</f>
        <v>4805.4733414706252</v>
      </c>
      <c r="R69" s="19">
        <f>(R64+R65)*Assumptions!P16</f>
        <v>4410.8556099342322</v>
      </c>
      <c r="S69" s="19">
        <f>(S64+S65)*Assumptions!Q16</f>
        <v>3987.7323558862286</v>
      </c>
      <c r="T69" s="19">
        <f>(T64+T65)*Assumptions!R16</f>
        <v>3537.8771243503056</v>
      </c>
      <c r="U69" s="19">
        <f>(U64+U65)*Assumptions!S16</f>
        <v>3024.3456562709516</v>
      </c>
      <c r="V69" s="19">
        <f>(V64+V65)*Assumptions!T16</f>
        <v>2487.5987982459587</v>
      </c>
      <c r="W69" s="19">
        <f>(W64+W65)*Assumptions!U16</f>
        <v>1928.804733299324</v>
      </c>
      <c r="X69" s="19">
        <f>(X64+X65)*Assumptions!V16</f>
        <v>1316.126430746441</v>
      </c>
      <c r="Y69" s="22">
        <f>(Y64+Y65)*Assumptions!W16</f>
        <v>652.60589583696219</v>
      </c>
    </row>
    <row r="70" spans="3:25" ht="27.6" x14ac:dyDescent="0.3">
      <c r="C70" s="120" t="s">
        <v>18</v>
      </c>
      <c r="D70" s="19"/>
      <c r="E70" s="19"/>
      <c r="F70" s="19">
        <v>0</v>
      </c>
      <c r="G70" s="19">
        <v>0</v>
      </c>
      <c r="H70" s="19">
        <v>0</v>
      </c>
      <c r="I70" s="19">
        <v>0</v>
      </c>
      <c r="J70" s="19">
        <v>0</v>
      </c>
      <c r="K70" s="19">
        <v>0</v>
      </c>
      <c r="L70" s="19">
        <v>0</v>
      </c>
      <c r="M70" s="19">
        <v>0</v>
      </c>
      <c r="N70" s="19">
        <v>0</v>
      </c>
      <c r="O70" s="19">
        <v>0</v>
      </c>
      <c r="P70" s="19">
        <v>0</v>
      </c>
      <c r="Q70" s="19">
        <v>0</v>
      </c>
      <c r="R70" s="19">
        <v>0</v>
      </c>
      <c r="S70" s="19">
        <v>0</v>
      </c>
      <c r="T70" s="19">
        <v>0</v>
      </c>
      <c r="U70" s="19">
        <v>0</v>
      </c>
      <c r="V70" s="19">
        <v>0</v>
      </c>
      <c r="W70" s="19">
        <v>0</v>
      </c>
      <c r="X70" s="19">
        <v>0</v>
      </c>
      <c r="Y70" s="22">
        <v>0</v>
      </c>
    </row>
    <row r="71" spans="3:25" ht="28.2" x14ac:dyDescent="0.3">
      <c r="C71" s="119" t="s">
        <v>33</v>
      </c>
      <c r="D71" s="19"/>
      <c r="E71" s="19"/>
      <c r="F71" s="19">
        <f>F30</f>
        <v>-8000</v>
      </c>
      <c r="G71" s="19">
        <f>G30</f>
        <v>-7596.8</v>
      </c>
      <c r="H71" s="19">
        <f t="shared" ref="H71:Y71" si="14">H30</f>
        <v>-9017.4016000000029</v>
      </c>
      <c r="I71" s="19">
        <f t="shared" si="14"/>
        <v>-8562.0228192000013</v>
      </c>
      <c r="J71" s="19">
        <f t="shared" si="14"/>
        <v>-9755.5688001964809</v>
      </c>
      <c r="K71" s="19">
        <f t="shared" si="14"/>
        <v>-10805.593188724297</v>
      </c>
      <c r="L71" s="19">
        <f t="shared" si="14"/>
        <v>-10257.749614055976</v>
      </c>
      <c r="M71" s="19">
        <f t="shared" si="14"/>
        <v>-11128.779095569529</v>
      </c>
      <c r="N71" s="19">
        <f t="shared" si="14"/>
        <v>-11883.866757203921</v>
      </c>
      <c r="O71" s="19">
        <f t="shared" si="14"/>
        <v>-12532.197710291379</v>
      </c>
      <c r="P71" s="19">
        <f t="shared" si="14"/>
        <v>-13082.361189773168</v>
      </c>
      <c r="Q71" s="19">
        <f t="shared" si="14"/>
        <v>-14670.916629880447</v>
      </c>
      <c r="R71" s="19">
        <f t="shared" si="14"/>
        <v>-14988.936961134321</v>
      </c>
      <c r="S71" s="19">
        <f t="shared" si="14"/>
        <v>-15234.113144284302</v>
      </c>
      <c r="T71" s="19">
        <f t="shared" si="14"/>
        <v>-16376.163826334148</v>
      </c>
      <c r="U71" s="19">
        <f t="shared" si="14"/>
        <v>-16443.017106895768</v>
      </c>
      <c r="V71" s="19">
        <f t="shared" si="14"/>
        <v>-16457.450421911824</v>
      </c>
      <c r="W71" s="19">
        <f t="shared" si="14"/>
        <v>-17245.7622971214</v>
      </c>
      <c r="X71" s="19">
        <f t="shared" si="14"/>
        <v>-17904.139803483413</v>
      </c>
      <c r="Y71" s="22">
        <f t="shared" si="14"/>
        <v>-16967.75329176123</v>
      </c>
    </row>
    <row r="72" spans="3:25" ht="28.2" x14ac:dyDescent="0.3">
      <c r="C72" s="121" t="s">
        <v>38</v>
      </c>
      <c r="D72" s="23"/>
      <c r="E72" s="23"/>
      <c r="F72" s="23">
        <f>SUM(F64:F71)</f>
        <v>164524.12967923257</v>
      </c>
      <c r="G72" s="23">
        <f>SUM(G64:G71)</f>
        <v>163508.29486640188</v>
      </c>
      <c r="H72" s="23">
        <f t="shared" ref="H72:Y72" si="15">SUM(H64:H71)</f>
        <v>161031.22506105795</v>
      </c>
      <c r="I72" s="23">
        <f t="shared" si="15"/>
        <v>158910.45124430026</v>
      </c>
      <c r="J72" s="23">
        <f t="shared" si="15"/>
        <v>155511.30049387578</v>
      </c>
      <c r="K72" s="23">
        <f t="shared" si="15"/>
        <v>150926.1593249065</v>
      </c>
      <c r="L72" s="23">
        <f t="shared" si="15"/>
        <v>146705.4560838468</v>
      </c>
      <c r="M72" s="23">
        <f t="shared" si="15"/>
        <v>141444.89523163115</v>
      </c>
      <c r="N72" s="23">
        <f t="shared" si="15"/>
        <v>135218.82428369249</v>
      </c>
      <c r="O72" s="23">
        <f t="shared" si="15"/>
        <v>128095.37954474882</v>
      </c>
      <c r="P72" s="23">
        <f t="shared" si="15"/>
        <v>120136.83353676563</v>
      </c>
      <c r="Q72" s="23">
        <f t="shared" si="15"/>
        <v>110271.3902483558</v>
      </c>
      <c r="R72" s="23">
        <f t="shared" si="15"/>
        <v>99693.308897155715</v>
      </c>
      <c r="S72" s="23">
        <f t="shared" si="15"/>
        <v>88446.928108757638</v>
      </c>
      <c r="T72" s="23">
        <f t="shared" si="15"/>
        <v>75608.641406773793</v>
      </c>
      <c r="U72" s="23">
        <f t="shared" si="15"/>
        <v>62189.969956148969</v>
      </c>
      <c r="V72" s="23">
        <f t="shared" si="15"/>
        <v>48220.1183324831</v>
      </c>
      <c r="W72" s="23">
        <f t="shared" si="15"/>
        <v>32903.160768661022</v>
      </c>
      <c r="X72" s="23">
        <f t="shared" si="15"/>
        <v>16315.147395924054</v>
      </c>
      <c r="Y72" s="24">
        <f t="shared" si="15"/>
        <v>-2.1464074961841106E-10</v>
      </c>
    </row>
    <row r="73" spans="3:25" x14ac:dyDescent="0.3">
      <c r="C73" s="6"/>
    </row>
    <row r="74" spans="3:25" ht="28.2" x14ac:dyDescent="0.3">
      <c r="C74" s="107" t="s">
        <v>71</v>
      </c>
    </row>
    <row r="75" spans="3:25" x14ac:dyDescent="0.3">
      <c r="C75" s="122" t="s">
        <v>69</v>
      </c>
      <c r="D75" s="17"/>
      <c r="E75" s="17"/>
      <c r="F75" s="17">
        <v>0</v>
      </c>
      <c r="G75" s="17">
        <f>F83</f>
        <v>482587.41204315668</v>
      </c>
      <c r="H75" s="17">
        <f t="shared" ref="H75:Y75" si="16">G83</f>
        <v>461328.32827587076</v>
      </c>
      <c r="I75" s="17">
        <f t="shared" si="16"/>
        <v>439722.50615426514</v>
      </c>
      <c r="J75" s="17">
        <f t="shared" si="16"/>
        <v>417753.98926755827</v>
      </c>
      <c r="K75" s="35">
        <f t="shared" si="16"/>
        <v>337768.21537060995</v>
      </c>
      <c r="L75" s="35">
        <f t="shared" si="16"/>
        <v>318331.7274711121</v>
      </c>
      <c r="M75" s="35">
        <f t="shared" si="16"/>
        <v>298537.13222742861</v>
      </c>
      <c r="N75" s="35">
        <f t="shared" si="16"/>
        <v>278364.76783134945</v>
      </c>
      <c r="O75" s="35">
        <f t="shared" si="16"/>
        <v>257797.59377858738</v>
      </c>
      <c r="P75" s="35">
        <f t="shared" si="16"/>
        <v>236817.82679272801</v>
      </c>
      <c r="Q75" s="35">
        <f t="shared" si="16"/>
        <v>215406.91251384476</v>
      </c>
      <c r="R75" s="35">
        <f t="shared" si="16"/>
        <v>193545.49606170238</v>
      </c>
      <c r="S75" s="35">
        <f t="shared" si="16"/>
        <v>171216.56110777869</v>
      </c>
      <c r="T75" s="35">
        <f t="shared" si="16"/>
        <v>148399.10083223827</v>
      </c>
      <c r="U75" s="35">
        <f t="shared" si="16"/>
        <v>125071.21476975744</v>
      </c>
      <c r="V75" s="35">
        <f t="shared" si="16"/>
        <v>101213.11795289595</v>
      </c>
      <c r="W75" s="35">
        <f t="shared" si="16"/>
        <v>76801.056298054929</v>
      </c>
      <c r="X75" s="35">
        <f t="shared" si="16"/>
        <v>51810.277332168713</v>
      </c>
      <c r="Y75" s="36">
        <f t="shared" si="16"/>
        <v>26217.910263800452</v>
      </c>
    </row>
    <row r="76" spans="3:25" ht="28.2" x14ac:dyDescent="0.3">
      <c r="C76" s="118" t="s">
        <v>27</v>
      </c>
      <c r="D76" s="19"/>
      <c r="E76" s="19"/>
      <c r="F76" s="19">
        <f>E49</f>
        <v>503519.18164414086</v>
      </c>
      <c r="G76" s="19">
        <v>0</v>
      </c>
      <c r="H76" s="19">
        <v>0</v>
      </c>
      <c r="I76" s="19">
        <v>0</v>
      </c>
      <c r="J76" s="19">
        <v>0</v>
      </c>
      <c r="K76" s="19">
        <v>0</v>
      </c>
      <c r="L76" s="19">
        <v>0</v>
      </c>
      <c r="M76" s="19">
        <v>0</v>
      </c>
      <c r="N76" s="19">
        <v>0</v>
      </c>
      <c r="O76" s="19">
        <v>0</v>
      </c>
      <c r="P76" s="19">
        <v>0</v>
      </c>
      <c r="Q76" s="19">
        <v>0</v>
      </c>
      <c r="R76" s="19">
        <v>0</v>
      </c>
      <c r="S76" s="19">
        <v>0</v>
      </c>
      <c r="T76" s="19">
        <v>0</v>
      </c>
      <c r="U76" s="19">
        <v>0</v>
      </c>
      <c r="V76" s="19">
        <v>0</v>
      </c>
      <c r="W76" s="19">
        <v>0</v>
      </c>
      <c r="X76" s="19">
        <v>0</v>
      </c>
      <c r="Y76" s="22">
        <v>0</v>
      </c>
    </row>
    <row r="77" spans="3:25" ht="28.2" x14ac:dyDescent="0.3">
      <c r="C77" s="119" t="s">
        <v>32</v>
      </c>
      <c r="D77" s="19"/>
      <c r="E77" s="19"/>
      <c r="F77" s="19">
        <v>0</v>
      </c>
      <c r="G77" s="19">
        <v>0</v>
      </c>
      <c r="H77" s="19">
        <v>0</v>
      </c>
      <c r="I77" s="19">
        <v>0</v>
      </c>
      <c r="J77" s="29">
        <f>-J55</f>
        <v>-63327.47351488471</v>
      </c>
      <c r="K77" s="19">
        <v>0</v>
      </c>
      <c r="L77" s="19">
        <v>0</v>
      </c>
      <c r="M77" s="19">
        <v>0</v>
      </c>
      <c r="N77" s="19">
        <v>0</v>
      </c>
      <c r="O77" s="19">
        <v>0</v>
      </c>
      <c r="P77" s="19">
        <v>0</v>
      </c>
      <c r="Q77" s="19">
        <v>0</v>
      </c>
      <c r="R77" s="19">
        <v>0</v>
      </c>
      <c r="S77" s="19">
        <v>0</v>
      </c>
      <c r="T77" s="19">
        <v>0</v>
      </c>
      <c r="U77" s="19">
        <v>0</v>
      </c>
      <c r="V77" s="19">
        <v>0</v>
      </c>
      <c r="W77" s="19">
        <v>0</v>
      </c>
      <c r="X77" s="19">
        <v>0</v>
      </c>
      <c r="Y77" s="22">
        <v>0</v>
      </c>
    </row>
    <row r="78" spans="3:25" ht="27.6" x14ac:dyDescent="0.3">
      <c r="C78" s="120" t="s">
        <v>30</v>
      </c>
      <c r="D78" s="19"/>
      <c r="E78" s="19"/>
      <c r="F78" s="19">
        <v>0</v>
      </c>
      <c r="G78" s="19">
        <v>0</v>
      </c>
      <c r="H78" s="19">
        <v>0</v>
      </c>
      <c r="I78" s="19">
        <v>0</v>
      </c>
      <c r="J78" s="19">
        <v>0</v>
      </c>
      <c r="K78" s="19">
        <v>0</v>
      </c>
      <c r="L78" s="19">
        <v>0</v>
      </c>
      <c r="M78" s="19">
        <v>0</v>
      </c>
      <c r="N78" s="19">
        <v>0</v>
      </c>
      <c r="O78" s="19">
        <v>0</v>
      </c>
      <c r="P78" s="19">
        <v>0</v>
      </c>
      <c r="Q78" s="19">
        <v>0</v>
      </c>
      <c r="R78" s="19">
        <v>0</v>
      </c>
      <c r="S78" s="19">
        <v>0</v>
      </c>
      <c r="T78" s="19">
        <v>0</v>
      </c>
      <c r="U78" s="19">
        <v>0</v>
      </c>
      <c r="V78" s="19">
        <v>0</v>
      </c>
      <c r="W78" s="19">
        <v>0</v>
      </c>
      <c r="X78" s="19">
        <v>0</v>
      </c>
      <c r="Y78" s="22">
        <v>0</v>
      </c>
    </row>
    <row r="79" spans="3:25" ht="28.2" x14ac:dyDescent="0.3">
      <c r="C79" s="119" t="s">
        <v>31</v>
      </c>
      <c r="D79" s="19"/>
      <c r="E79" s="19"/>
      <c r="F79" s="19">
        <v>0</v>
      </c>
      <c r="G79" s="19">
        <v>0</v>
      </c>
      <c r="H79" s="19">
        <v>0</v>
      </c>
      <c r="I79" s="19">
        <v>0</v>
      </c>
      <c r="J79" s="19">
        <v>0</v>
      </c>
      <c r="K79" s="19">
        <v>0</v>
      </c>
      <c r="L79" s="19">
        <v>0</v>
      </c>
      <c r="M79" s="19">
        <v>0</v>
      </c>
      <c r="N79" s="19">
        <v>0</v>
      </c>
      <c r="O79" s="19">
        <v>0</v>
      </c>
      <c r="P79" s="19">
        <v>0</v>
      </c>
      <c r="Q79" s="19">
        <v>0</v>
      </c>
      <c r="R79" s="19">
        <v>0</v>
      </c>
      <c r="S79" s="19">
        <v>0</v>
      </c>
      <c r="T79" s="19">
        <v>0</v>
      </c>
      <c r="U79" s="19">
        <v>0</v>
      </c>
      <c r="V79" s="19">
        <v>0</v>
      </c>
      <c r="W79" s="19">
        <v>0</v>
      </c>
      <c r="X79" s="19">
        <v>0</v>
      </c>
      <c r="Y79" s="22">
        <v>0</v>
      </c>
    </row>
    <row r="80" spans="3:25" ht="27.6" x14ac:dyDescent="0.3">
      <c r="C80" s="120" t="s">
        <v>29</v>
      </c>
      <c r="D80" s="19"/>
      <c r="E80" s="19"/>
      <c r="F80" s="19">
        <f>(F75+F76)*Assumptions!D18</f>
        <v>20140.767265765633</v>
      </c>
      <c r="G80" s="19">
        <f>(G75+G76)*Assumptions!E18</f>
        <v>19303.496481726266</v>
      </c>
      <c r="H80" s="19">
        <f>(H75+H76)*Assumptions!F18</f>
        <v>18453.133131034832</v>
      </c>
      <c r="I80" s="19">
        <f>(I75+I76)*Assumptions!G18</f>
        <v>17588.900246170608</v>
      </c>
      <c r="J80" s="19">
        <f>(J75+J76)*Assumptions!H18</f>
        <v>16710.15957070233</v>
      </c>
      <c r="K80" s="29">
        <f>(K75+K76)*Assumptions!I18</f>
        <v>13510.728614824398</v>
      </c>
      <c r="L80" s="29">
        <f>(L75+L76)*Assumptions!J18</f>
        <v>12733.269098844485</v>
      </c>
      <c r="M80" s="29">
        <f>(M75+M76)*Assumptions!K18</f>
        <v>11941.485289097145</v>
      </c>
      <c r="N80" s="29">
        <f>(N75+N76)*Assumptions!L18</f>
        <v>11134.590713253978</v>
      </c>
      <c r="O80" s="29">
        <f>(O75+O76)*Assumptions!M18</f>
        <v>10311.903751143496</v>
      </c>
      <c r="P80" s="29">
        <f>(P75+P76)*Assumptions!N18</f>
        <v>9472.7130717091204</v>
      </c>
      <c r="Q80" s="29">
        <f>(Q75+Q76)*Assumptions!O18</f>
        <v>8616.2765005537913</v>
      </c>
      <c r="R80" s="29">
        <f>(R75+R76)*Assumptions!P18</f>
        <v>7741.819842468095</v>
      </c>
      <c r="S80" s="29">
        <f>(S75+S76)*Assumptions!Q18</f>
        <v>6848.6624443111477</v>
      </c>
      <c r="T80" s="29">
        <f>(T75+T76)*Assumptions!R18</f>
        <v>5935.9640332895306</v>
      </c>
      <c r="U80" s="29">
        <f>(U75+U76)*Assumptions!S18</f>
        <v>5002.8485907902977</v>
      </c>
      <c r="V80" s="29">
        <f>(V75+V76)*Assumptions!T18</f>
        <v>4048.5247181158379</v>
      </c>
      <c r="W80" s="29">
        <f>(W75+W76)*Assumptions!U18</f>
        <v>3072.0422519221975</v>
      </c>
      <c r="X80" s="29">
        <f>(X75+X76)*Assumptions!V18</f>
        <v>2072.4110932867484</v>
      </c>
      <c r="Y80" s="32">
        <f>(Y75+Y76)*Assumptions!W18</f>
        <v>1048.716410552018</v>
      </c>
    </row>
    <row r="81" spans="3:25" ht="27.6" x14ac:dyDescent="0.3">
      <c r="C81" s="120" t="s">
        <v>18</v>
      </c>
      <c r="D81" s="19"/>
      <c r="E81" s="19"/>
      <c r="F81" s="19">
        <v>0</v>
      </c>
      <c r="G81" s="19">
        <v>0</v>
      </c>
      <c r="H81" s="19">
        <v>0</v>
      </c>
      <c r="I81" s="19">
        <v>0</v>
      </c>
      <c r="J81" s="19">
        <v>0</v>
      </c>
      <c r="K81" s="19">
        <v>0</v>
      </c>
      <c r="L81" s="19">
        <v>0</v>
      </c>
      <c r="M81" s="19">
        <v>0</v>
      </c>
      <c r="N81" s="19">
        <v>0</v>
      </c>
      <c r="O81" s="19">
        <v>0</v>
      </c>
      <c r="P81" s="19">
        <v>0</v>
      </c>
      <c r="Q81" s="19">
        <v>0</v>
      </c>
      <c r="R81" s="19">
        <v>0</v>
      </c>
      <c r="S81" s="19">
        <v>0</v>
      </c>
      <c r="T81" s="19">
        <v>0</v>
      </c>
      <c r="U81" s="19">
        <v>0</v>
      </c>
      <c r="V81" s="19">
        <v>0</v>
      </c>
      <c r="W81" s="19">
        <v>0</v>
      </c>
      <c r="X81" s="19">
        <v>0</v>
      </c>
      <c r="Y81" s="22">
        <v>0</v>
      </c>
    </row>
    <row r="82" spans="3:25" ht="28.2" x14ac:dyDescent="0.3">
      <c r="C82" s="119" t="s">
        <v>33</v>
      </c>
      <c r="D82" s="19"/>
      <c r="E82" s="19"/>
      <c r="F82" s="19">
        <f>-SUM(F75:F81)*F36/SUM(F36:$Y$36)</f>
        <v>-41072.53686674979</v>
      </c>
      <c r="G82" s="19">
        <f>-SUM(G75:G81)*G36/SUM(G36:$Y$36)</f>
        <v>-40562.580249012222</v>
      </c>
      <c r="H82" s="19">
        <f>-SUM(H75:H81)*H36/SUM(H36:$Y$36)</f>
        <v>-40058.955252640495</v>
      </c>
      <c r="I82" s="19">
        <f>-SUM(I75:I81)*I36/SUM(I36:$Y$36)</f>
        <v>-39557.417132877446</v>
      </c>
      <c r="J82" s="29">
        <f>-SUM(J75:J81)*J36/SUM(J36:$Y$36)</f>
        <v>-33368.459952765959</v>
      </c>
      <c r="K82" s="29">
        <f>-SUM(K75:K81)*K36/SUM(K36:$Y$36)</f>
        <v>-32947.216514322252</v>
      </c>
      <c r="L82" s="29">
        <f>-SUM(L75:L81)*L36/SUM(L36:$Y$36)</f>
        <v>-32527.864342527959</v>
      </c>
      <c r="M82" s="29">
        <f>-SUM(M75:M81)*M36/SUM(M36:$Y$36)</f>
        <v>-32113.849685176254</v>
      </c>
      <c r="N82" s="29">
        <f>-SUM(N75:N81)*N36/SUM(N36:$Y$36)</f>
        <v>-31701.764766016073</v>
      </c>
      <c r="O82" s="29">
        <f>-SUM(O75:O81)*O36/SUM(O36:$Y$36)</f>
        <v>-31291.670737002893</v>
      </c>
      <c r="P82" s="29">
        <f>-SUM(P75:P81)*P36/SUM(P36:$Y$36)</f>
        <v>-30883.627350592371</v>
      </c>
      <c r="Q82" s="29">
        <f>-SUM(Q75:Q81)*Q36/SUM(Q36:$Y$36)</f>
        <v>-30477.69295269619</v>
      </c>
      <c r="R82" s="29">
        <f>-SUM(R75:R81)*R36/SUM(R36:$Y$36)</f>
        <v>-30070.754796391797</v>
      </c>
      <c r="S82" s="29">
        <f>-SUM(S75:S81)*S36/SUM(S36:$Y$36)</f>
        <v>-29666.122719851555</v>
      </c>
      <c r="T82" s="29">
        <f>-SUM(T75:T81)*T36/SUM(T36:$Y$36)</f>
        <v>-29263.850095770358</v>
      </c>
      <c r="U82" s="29">
        <f>-SUM(U75:U81)*U36/SUM(U36:$Y$36)</f>
        <v>-28860.94540765179</v>
      </c>
      <c r="V82" s="29">
        <f>-SUM(V75:V81)*V36/SUM(V36:$Y$36)</f>
        <v>-28460.586372956852</v>
      </c>
      <c r="W82" s="29">
        <f>-SUM(W75:W81)*W36/SUM(W36:$Y$36)</f>
        <v>-28062.821217808403</v>
      </c>
      <c r="X82" s="29">
        <f>-SUM(X75:X81)*X36/SUM(X36:$Y$36)</f>
        <v>-27664.778161655009</v>
      </c>
      <c r="Y82" s="32">
        <f>-SUM(Y75:Y81)*Y36/SUM(Y36:$Y$36)</f>
        <v>-27266.626674352468</v>
      </c>
    </row>
    <row r="83" spans="3:25" x14ac:dyDescent="0.3">
      <c r="C83" s="123" t="s">
        <v>70</v>
      </c>
      <c r="D83" s="23"/>
      <c r="E83" s="23"/>
      <c r="F83" s="23">
        <f>SUM(F75:F82)</f>
        <v>482587.41204315668</v>
      </c>
      <c r="G83" s="23">
        <f>SUM(G75:G82)</f>
        <v>461328.32827587076</v>
      </c>
      <c r="H83" s="23">
        <f t="shared" ref="H83:Y83" si="17">SUM(H75:H82)</f>
        <v>439722.50615426514</v>
      </c>
      <c r="I83" s="23">
        <f t="shared" si="17"/>
        <v>417753.98926755827</v>
      </c>
      <c r="J83" s="33">
        <f t="shared" si="17"/>
        <v>337768.21537060995</v>
      </c>
      <c r="K83" s="33">
        <f t="shared" si="17"/>
        <v>318331.7274711121</v>
      </c>
      <c r="L83" s="33">
        <f t="shared" si="17"/>
        <v>298537.13222742861</v>
      </c>
      <c r="M83" s="33">
        <f t="shared" si="17"/>
        <v>278364.76783134945</v>
      </c>
      <c r="N83" s="33">
        <f t="shared" si="17"/>
        <v>257797.59377858738</v>
      </c>
      <c r="O83" s="33">
        <f t="shared" si="17"/>
        <v>236817.82679272801</v>
      </c>
      <c r="P83" s="33">
        <f t="shared" si="17"/>
        <v>215406.91251384476</v>
      </c>
      <c r="Q83" s="33">
        <f t="shared" si="17"/>
        <v>193545.49606170238</v>
      </c>
      <c r="R83" s="33">
        <f t="shared" si="17"/>
        <v>171216.56110777869</v>
      </c>
      <c r="S83" s="33">
        <f t="shared" si="17"/>
        <v>148399.10083223827</v>
      </c>
      <c r="T83" s="33">
        <f t="shared" si="17"/>
        <v>125071.21476975744</v>
      </c>
      <c r="U83" s="33">
        <f t="shared" si="17"/>
        <v>101213.11795289595</v>
      </c>
      <c r="V83" s="33">
        <f t="shared" si="17"/>
        <v>76801.056298054929</v>
      </c>
      <c r="W83" s="33">
        <f t="shared" si="17"/>
        <v>51810.277332168713</v>
      </c>
      <c r="X83" s="33">
        <f t="shared" si="17"/>
        <v>26217.910263800452</v>
      </c>
      <c r="Y83" s="34">
        <f t="shared" si="17"/>
        <v>0</v>
      </c>
    </row>
    <row r="85" spans="3:25" ht="28.2" x14ac:dyDescent="0.3">
      <c r="C85" s="65" t="s">
        <v>72</v>
      </c>
    </row>
    <row r="86" spans="3:25" x14ac:dyDescent="0.3">
      <c r="C86" s="122" t="s">
        <v>73</v>
      </c>
      <c r="D86" s="17"/>
      <c r="E86" s="17"/>
      <c r="F86" s="17">
        <f>F53+F64+F75</f>
        <v>0</v>
      </c>
      <c r="G86" s="17">
        <f t="shared" ref="G86:Y86" si="18">G53+G64+G75</f>
        <v>-131192.53686674975</v>
      </c>
      <c r="H86" s="17">
        <f t="shared" si="18"/>
        <v>6535.8694095679675</v>
      </c>
      <c r="I86" s="17">
        <f t="shared" si="18"/>
        <v>121188.4035381102</v>
      </c>
      <c r="J86" s="17">
        <f t="shared" si="18"/>
        <v>233128.84939401477</v>
      </c>
      <c r="K86" s="17">
        <f t="shared" si="18"/>
        <v>330444.81929145363</v>
      </c>
      <c r="L86" s="17">
        <f t="shared" si="18"/>
        <v>401235.3933469028</v>
      </c>
      <c r="M86" s="17">
        <f t="shared" si="18"/>
        <v>470687.57864799979</v>
      </c>
      <c r="N86" s="17">
        <f t="shared" si="18"/>
        <v>523673.11162286007</v>
      </c>
      <c r="O86" s="17">
        <f t="shared" si="18"/>
        <v>561298.81331997528</v>
      </c>
      <c r="P86" s="17">
        <f t="shared" si="18"/>
        <v>584591.65004495846</v>
      </c>
      <c r="Q86" s="17">
        <f t="shared" si="18"/>
        <v>594503.12213418994</v>
      </c>
      <c r="R86" s="17">
        <f t="shared" si="18"/>
        <v>579499.55819025217</v>
      </c>
      <c r="S86" s="17">
        <f t="shared" si="18"/>
        <v>552951.86553529708</v>
      </c>
      <c r="T86" s="17">
        <f t="shared" si="18"/>
        <v>515585.57997577818</v>
      </c>
      <c r="U86" s="17">
        <f t="shared" si="18"/>
        <v>457469.87224842003</v>
      </c>
      <c r="V86" s="17">
        <f t="shared" si="18"/>
        <v>389941.80246481497</v>
      </c>
      <c r="W86" s="17">
        <f t="shared" si="18"/>
        <v>313535.80592984799</v>
      </c>
      <c r="X86" s="17">
        <f t="shared" si="18"/>
        <v>219702.23158478126</v>
      </c>
      <c r="Y86" s="18">
        <f t="shared" si="18"/>
        <v>109467.72323709086</v>
      </c>
    </row>
    <row r="87" spans="3:25" ht="28.2" x14ac:dyDescent="0.3">
      <c r="C87" s="118" t="s">
        <v>27</v>
      </c>
      <c r="D87" s="19"/>
      <c r="E87" s="19"/>
      <c r="F87" s="19">
        <f t="shared" ref="F87:Y90" si="19">F54+F65+F76</f>
        <v>0</v>
      </c>
      <c r="G87" s="19">
        <f t="shared" si="19"/>
        <v>0</v>
      </c>
      <c r="H87" s="19">
        <f t="shared" si="19"/>
        <v>0</v>
      </c>
      <c r="I87" s="19">
        <f t="shared" si="19"/>
        <v>0</v>
      </c>
      <c r="J87" s="19">
        <f t="shared" si="19"/>
        <v>0</v>
      </c>
      <c r="K87" s="19">
        <f t="shared" si="19"/>
        <v>0</v>
      </c>
      <c r="L87" s="19">
        <f t="shared" si="19"/>
        <v>0</v>
      </c>
      <c r="M87" s="19">
        <f t="shared" si="19"/>
        <v>0</v>
      </c>
      <c r="N87" s="19">
        <f t="shared" si="19"/>
        <v>0</v>
      </c>
      <c r="O87" s="19">
        <f t="shared" si="19"/>
        <v>0</v>
      </c>
      <c r="P87" s="19">
        <f t="shared" si="19"/>
        <v>0</v>
      </c>
      <c r="Q87" s="19">
        <f t="shared" si="19"/>
        <v>0</v>
      </c>
      <c r="R87" s="19">
        <f t="shared" si="19"/>
        <v>0</v>
      </c>
      <c r="S87" s="19">
        <f t="shared" si="19"/>
        <v>0</v>
      </c>
      <c r="T87" s="19">
        <f t="shared" si="19"/>
        <v>0</v>
      </c>
      <c r="U87" s="19">
        <f t="shared" si="19"/>
        <v>0</v>
      </c>
      <c r="V87" s="19">
        <f t="shared" si="19"/>
        <v>0</v>
      </c>
      <c r="W87" s="19">
        <f t="shared" si="19"/>
        <v>0</v>
      </c>
      <c r="X87" s="19">
        <f t="shared" si="19"/>
        <v>0</v>
      </c>
      <c r="Y87" s="22">
        <f t="shared" si="19"/>
        <v>0</v>
      </c>
    </row>
    <row r="88" spans="3:25" ht="28.2" x14ac:dyDescent="0.3">
      <c r="C88" s="118" t="s">
        <v>32</v>
      </c>
      <c r="D88" s="19"/>
      <c r="E88" s="19"/>
      <c r="F88" s="19">
        <f t="shared" si="19"/>
        <v>0</v>
      </c>
      <c r="G88" s="19">
        <f t="shared" si="19"/>
        <v>0</v>
      </c>
      <c r="H88" s="19">
        <f t="shared" si="19"/>
        <v>0</v>
      </c>
      <c r="I88" s="19">
        <f t="shared" si="19"/>
        <v>0</v>
      </c>
      <c r="J88" s="19">
        <f t="shared" si="19"/>
        <v>0</v>
      </c>
      <c r="K88" s="19">
        <f t="shared" si="19"/>
        <v>0</v>
      </c>
      <c r="L88" s="19">
        <f t="shared" si="19"/>
        <v>0</v>
      </c>
      <c r="M88" s="19">
        <f t="shared" si="19"/>
        <v>0</v>
      </c>
      <c r="N88" s="19">
        <f t="shared" si="19"/>
        <v>0</v>
      </c>
      <c r="O88" s="19">
        <f t="shared" si="19"/>
        <v>0</v>
      </c>
      <c r="P88" s="19">
        <f t="shared" si="19"/>
        <v>0</v>
      </c>
      <c r="Q88" s="19">
        <f t="shared" si="19"/>
        <v>0</v>
      </c>
      <c r="R88" s="19">
        <f t="shared" si="19"/>
        <v>0</v>
      </c>
      <c r="S88" s="19">
        <f t="shared" si="19"/>
        <v>0</v>
      </c>
      <c r="T88" s="19">
        <f t="shared" si="19"/>
        <v>0</v>
      </c>
      <c r="U88" s="19">
        <f t="shared" si="19"/>
        <v>0</v>
      </c>
      <c r="V88" s="19">
        <f t="shared" si="19"/>
        <v>0</v>
      </c>
      <c r="W88" s="19">
        <f t="shared" si="19"/>
        <v>0</v>
      </c>
      <c r="X88" s="19">
        <f t="shared" si="19"/>
        <v>0</v>
      </c>
      <c r="Y88" s="22">
        <f t="shared" si="19"/>
        <v>0</v>
      </c>
    </row>
    <row r="89" spans="3:25" ht="27.6" x14ac:dyDescent="0.3">
      <c r="C89" s="124" t="s">
        <v>30</v>
      </c>
      <c r="D89" s="19"/>
      <c r="E89" s="19"/>
      <c r="F89" s="19">
        <f t="shared" si="19"/>
        <v>310000</v>
      </c>
      <c r="G89" s="19">
        <f t="shared" si="19"/>
        <v>294376</v>
      </c>
      <c r="H89" s="19">
        <f t="shared" si="19"/>
        <v>279539.44959999999</v>
      </c>
      <c r="I89" s="19">
        <f t="shared" si="19"/>
        <v>265422.70739520004</v>
      </c>
      <c r="J89" s="19">
        <f t="shared" si="19"/>
        <v>252018.86067174241</v>
      </c>
      <c r="K89" s="19">
        <f t="shared" si="19"/>
        <v>239266.70632175228</v>
      </c>
      <c r="L89" s="19">
        <f t="shared" si="19"/>
        <v>227135.88431123944</v>
      </c>
      <c r="M89" s="19">
        <f t="shared" si="19"/>
        <v>215620.0949766596</v>
      </c>
      <c r="N89" s="19">
        <f t="shared" si="19"/>
        <v>204666.59415184529</v>
      </c>
      <c r="O89" s="19">
        <f t="shared" si="19"/>
        <v>194249.06450951635</v>
      </c>
      <c r="P89" s="19">
        <f t="shared" si="19"/>
        <v>184342.362219531</v>
      </c>
      <c r="Q89" s="19">
        <f t="shared" si="19"/>
        <v>174922.467510113</v>
      </c>
      <c r="R89" s="19">
        <f t="shared" si="19"/>
        <v>165948.94492684421</v>
      </c>
      <c r="S89" s="19">
        <f t="shared" si="19"/>
        <v>157419.16915760442</v>
      </c>
      <c r="T89" s="19">
        <f t="shared" si="19"/>
        <v>149312.0819459878</v>
      </c>
      <c r="U89" s="19">
        <f t="shared" si="19"/>
        <v>141592.64730938023</v>
      </c>
      <c r="V89" s="19">
        <f t="shared" si="19"/>
        <v>134258.14817875435</v>
      </c>
      <c r="W89" s="19">
        <f t="shared" si="19"/>
        <v>127290.150288277</v>
      </c>
      <c r="X89" s="19">
        <f t="shared" si="19"/>
        <v>120658.33345825778</v>
      </c>
      <c r="Y89" s="22">
        <f t="shared" si="19"/>
        <v>114347.90261839089</v>
      </c>
    </row>
    <row r="90" spans="3:25" ht="28.2" x14ac:dyDescent="0.3">
      <c r="C90" s="118" t="s">
        <v>31</v>
      </c>
      <c r="D90" s="19"/>
      <c r="E90" s="19"/>
      <c r="F90" s="19">
        <f>F57+F68+F79</f>
        <v>-393000</v>
      </c>
      <c r="G90" s="19">
        <f t="shared" si="19"/>
        <v>-114426.8</v>
      </c>
      <c r="H90" s="19">
        <f t="shared" si="19"/>
        <v>-126694.49248000002</v>
      </c>
      <c r="I90" s="19">
        <f t="shared" si="19"/>
        <v>-120296.42060976001</v>
      </c>
      <c r="J90" s="19">
        <f t="shared" si="19"/>
        <v>-130480.73270262792</v>
      </c>
      <c r="K90" s="19">
        <f t="shared" si="19"/>
        <v>-147033.25017514132</v>
      </c>
      <c r="L90" s="19">
        <f t="shared" si="19"/>
        <v>-139578.66439126167</v>
      </c>
      <c r="M90" s="19">
        <f t="shared" si="19"/>
        <v>-146412.9999760866</v>
      </c>
      <c r="N90" s="19">
        <f t="shared" si="19"/>
        <v>-152179.51597419466</v>
      </c>
      <c r="O90" s="19">
        <f t="shared" si="19"/>
        <v>-156965.77632139952</v>
      </c>
      <c r="P90" s="19">
        <f t="shared" si="19"/>
        <v>-160853.57735607465</v>
      </c>
      <c r="Q90" s="19">
        <f t="shared" si="19"/>
        <v>-175204.60052222607</v>
      </c>
      <c r="R90" s="19">
        <f t="shared" si="19"/>
        <v>-176922.98805910329</v>
      </c>
      <c r="S90" s="19">
        <f t="shared" si="19"/>
        <v>-177985.22190238824</v>
      </c>
      <c r="T90" s="19">
        <f t="shared" si="19"/>
        <v>-188085.05806422012</v>
      </c>
      <c r="U90" s="19">
        <f t="shared" si="19"/>
        <v>-187496.07006613092</v>
      </c>
      <c r="V90" s="19">
        <f t="shared" si="19"/>
        <v>-186445.58964823792</v>
      </c>
      <c r="W90" s="19">
        <f t="shared" si="19"/>
        <v>-193193.59906656237</v>
      </c>
      <c r="X90" s="19">
        <f t="shared" si="19"/>
        <v>-198697.02977561482</v>
      </c>
      <c r="Y90" s="22">
        <f t="shared" si="19"/>
        <v>-188305.17511835016</v>
      </c>
    </row>
    <row r="91" spans="3:25" ht="27.6" x14ac:dyDescent="0.3">
      <c r="C91" s="124" t="s">
        <v>29</v>
      </c>
      <c r="D91" s="19"/>
      <c r="E91" s="19"/>
      <c r="F91" s="19">
        <f t="shared" ref="F91:Y94" si="20">F58+F69+F80</f>
        <v>880</v>
      </c>
      <c r="G91" s="19">
        <f t="shared" si="20"/>
        <v>5938.5865253300071</v>
      </c>
      <c r="H91" s="19">
        <f t="shared" si="20"/>
        <v>10883.933861182722</v>
      </c>
      <c r="I91" s="19">
        <f t="shared" si="20"/>
        <v>14933.59902254201</v>
      </c>
      <c r="J91" s="19">
        <f t="shared" si="20"/>
        <v>18901.8706812868</v>
      </c>
      <c r="K91" s="19">
        <f t="shared" si="20"/>
        <v>22309.927611884734</v>
      </c>
      <c r="L91" s="19">
        <f t="shared" si="20"/>
        <v>24680.57933770321</v>
      </c>
      <c r="M91" s="19">
        <f t="shared" si="20"/>
        <v>27021.066755033058</v>
      </c>
      <c r="N91" s="19">
        <f t="shared" si="20"/>
        <v>28724.255042684526</v>
      </c>
      <c r="O91" s="19">
        <f t="shared" si="20"/>
        <v>29833.416984160634</v>
      </c>
      <c r="P91" s="19">
        <f t="shared" si="20"/>
        <v>30388.675766140517</v>
      </c>
      <c r="Q91" s="19">
        <f t="shared" si="20"/>
        <v>30427.178650751888</v>
      </c>
      <c r="R91" s="19">
        <f t="shared" si="20"/>
        <v>29486.042234830165</v>
      </c>
      <c r="S91" s="19">
        <f t="shared" si="20"/>
        <v>28100.00304940085</v>
      </c>
      <c r="T91" s="19">
        <f t="shared" si="20"/>
        <v>26297.282312978663</v>
      </c>
      <c r="U91" s="19">
        <f t="shared" si="20"/>
        <v>23679.315487693249</v>
      </c>
      <c r="V91" s="19">
        <f t="shared" si="20"/>
        <v>20699.481729385265</v>
      </c>
      <c r="W91" s="19">
        <f t="shared" si="20"/>
        <v>17378.457948148447</v>
      </c>
      <c r="X91" s="19">
        <f t="shared" si="20"/>
        <v>13373.105934805046</v>
      </c>
      <c r="Y91" s="22">
        <f t="shared" si="20"/>
        <v>8723.929228982488</v>
      </c>
    </row>
    <row r="92" spans="3:25" ht="27.6" x14ac:dyDescent="0.3">
      <c r="C92" s="124" t="s">
        <v>18</v>
      </c>
      <c r="D92" s="19"/>
      <c r="E92" s="19"/>
      <c r="F92" s="19">
        <f t="shared" si="20"/>
        <v>0</v>
      </c>
      <c r="G92" s="19">
        <f t="shared" si="20"/>
        <v>0</v>
      </c>
      <c r="H92" s="19">
        <f t="shared" si="20"/>
        <v>0</v>
      </c>
      <c r="I92" s="19">
        <f t="shared" si="20"/>
        <v>0</v>
      </c>
      <c r="J92" s="19">
        <f t="shared" si="20"/>
        <v>0</v>
      </c>
      <c r="K92" s="19">
        <f t="shared" si="20"/>
        <v>0</v>
      </c>
      <c r="L92" s="19">
        <f t="shared" si="20"/>
        <v>0</v>
      </c>
      <c r="M92" s="19">
        <f t="shared" si="20"/>
        <v>0</v>
      </c>
      <c r="N92" s="19">
        <f t="shared" si="20"/>
        <v>0</v>
      </c>
      <c r="O92" s="19">
        <f t="shared" si="20"/>
        <v>0</v>
      </c>
      <c r="P92" s="19">
        <f t="shared" si="20"/>
        <v>0</v>
      </c>
      <c r="Q92" s="19">
        <f t="shared" si="20"/>
        <v>0</v>
      </c>
      <c r="R92" s="19">
        <f t="shared" si="20"/>
        <v>0</v>
      </c>
      <c r="S92" s="19">
        <f t="shared" si="20"/>
        <v>0</v>
      </c>
      <c r="T92" s="19">
        <f t="shared" si="20"/>
        <v>0</v>
      </c>
      <c r="U92" s="19">
        <f t="shared" si="20"/>
        <v>0</v>
      </c>
      <c r="V92" s="19">
        <f t="shared" si="20"/>
        <v>0</v>
      </c>
      <c r="W92" s="19">
        <f t="shared" si="20"/>
        <v>0</v>
      </c>
      <c r="X92" s="19">
        <f t="shared" si="20"/>
        <v>0</v>
      </c>
      <c r="Y92" s="22">
        <f t="shared" si="20"/>
        <v>0</v>
      </c>
    </row>
    <row r="93" spans="3:25" ht="28.2" x14ac:dyDescent="0.3">
      <c r="C93" s="118" t="s">
        <v>33</v>
      </c>
      <c r="D93" s="19"/>
      <c r="E93" s="19"/>
      <c r="F93" s="19">
        <f t="shared" si="20"/>
        <v>-49072.53686674979</v>
      </c>
      <c r="G93" s="19">
        <f t="shared" si="20"/>
        <v>-48159.380249012225</v>
      </c>
      <c r="H93" s="19">
        <f t="shared" si="20"/>
        <v>-49076.3568526405</v>
      </c>
      <c r="I93" s="19">
        <f t="shared" si="20"/>
        <v>-48119.439952077446</v>
      </c>
      <c r="J93" s="19">
        <f t="shared" si="20"/>
        <v>-43124.02875296244</v>
      </c>
      <c r="K93" s="19">
        <f t="shared" si="20"/>
        <v>-43752.809703046551</v>
      </c>
      <c r="L93" s="19">
        <f t="shared" si="20"/>
        <v>-42785.613956583933</v>
      </c>
      <c r="M93" s="19">
        <f t="shared" si="20"/>
        <v>-43242.628780745785</v>
      </c>
      <c r="N93" s="19">
        <f t="shared" si="20"/>
        <v>-43585.631523219992</v>
      </c>
      <c r="O93" s="19">
        <f t="shared" si="20"/>
        <v>-43823.86844729427</v>
      </c>
      <c r="P93" s="19">
        <f t="shared" si="20"/>
        <v>-43965.988540365535</v>
      </c>
      <c r="Q93" s="19">
        <f t="shared" si="20"/>
        <v>-45148.609582576639</v>
      </c>
      <c r="R93" s="19">
        <f t="shared" si="20"/>
        <v>-45059.691757526118</v>
      </c>
      <c r="S93" s="19">
        <f t="shared" si="20"/>
        <v>-44900.235864135859</v>
      </c>
      <c r="T93" s="19">
        <f t="shared" si="20"/>
        <v>-45640.01392210451</v>
      </c>
      <c r="U93" s="19">
        <f t="shared" si="20"/>
        <v>-45303.962514547558</v>
      </c>
      <c r="V93" s="19">
        <f t="shared" si="20"/>
        <v>-44918.036794868676</v>
      </c>
      <c r="W93" s="19">
        <f t="shared" si="20"/>
        <v>-45308.583514929807</v>
      </c>
      <c r="X93" s="19">
        <f t="shared" si="20"/>
        <v>-45568.917965138418</v>
      </c>
      <c r="Y93" s="22">
        <f t="shared" si="20"/>
        <v>-44234.379966113702</v>
      </c>
    </row>
    <row r="94" spans="3:25" x14ac:dyDescent="0.3">
      <c r="C94" s="116" t="s">
        <v>74</v>
      </c>
      <c r="D94" s="23"/>
      <c r="E94" s="23"/>
      <c r="F94" s="23">
        <f t="shared" si="20"/>
        <v>-131192.53686674975</v>
      </c>
      <c r="G94" s="23">
        <f t="shared" si="20"/>
        <v>6535.8694095679675</v>
      </c>
      <c r="H94" s="23">
        <f t="shared" si="20"/>
        <v>121188.4035381102</v>
      </c>
      <c r="I94" s="23">
        <f t="shared" si="20"/>
        <v>233128.84939401477</v>
      </c>
      <c r="J94" s="23">
        <f t="shared" si="20"/>
        <v>330444.81929145363</v>
      </c>
      <c r="K94" s="23">
        <f t="shared" si="20"/>
        <v>401235.3933469028</v>
      </c>
      <c r="L94" s="23">
        <f t="shared" si="20"/>
        <v>470687.57864799979</v>
      </c>
      <c r="M94" s="23">
        <f t="shared" si="20"/>
        <v>523673.11162286007</v>
      </c>
      <c r="N94" s="23">
        <f t="shared" si="20"/>
        <v>561298.81331997528</v>
      </c>
      <c r="O94" s="23">
        <f t="shared" si="20"/>
        <v>584591.65004495846</v>
      </c>
      <c r="P94" s="23">
        <f t="shared" si="20"/>
        <v>594503.12213418994</v>
      </c>
      <c r="Q94" s="23">
        <f t="shared" si="20"/>
        <v>579499.55819025217</v>
      </c>
      <c r="R94" s="23">
        <f t="shared" si="20"/>
        <v>552951.86553529708</v>
      </c>
      <c r="S94" s="23">
        <f t="shared" si="20"/>
        <v>515585.57997577818</v>
      </c>
      <c r="T94" s="23">
        <f t="shared" si="20"/>
        <v>457469.87224842003</v>
      </c>
      <c r="U94" s="23">
        <f t="shared" si="20"/>
        <v>389941.80246481497</v>
      </c>
      <c r="V94" s="23">
        <f t="shared" si="20"/>
        <v>313535.80592984799</v>
      </c>
      <c r="W94" s="23">
        <f t="shared" si="20"/>
        <v>219702.23158478126</v>
      </c>
      <c r="X94" s="23">
        <f t="shared" si="20"/>
        <v>109467.72323709086</v>
      </c>
      <c r="Y94" s="24">
        <f t="shared" si="20"/>
        <v>3.5470293369144201E-10</v>
      </c>
    </row>
    <row r="95" spans="3:25" x14ac:dyDescent="0.3">
      <c r="C95" s="19"/>
      <c r="D95" s="19"/>
      <c r="E95" s="19"/>
      <c r="F95" s="19"/>
      <c r="G95" s="19"/>
      <c r="H95" s="19"/>
      <c r="I95" s="19"/>
      <c r="J95" s="19"/>
      <c r="K95" s="19"/>
      <c r="L95" s="19"/>
      <c r="M95" s="19"/>
      <c r="N95" s="19"/>
      <c r="O95" s="19"/>
      <c r="P95" s="19"/>
      <c r="Q95" s="19"/>
      <c r="R95" s="19"/>
      <c r="S95" s="19"/>
      <c r="T95" s="19"/>
      <c r="U95" s="19"/>
      <c r="V95" s="19"/>
      <c r="W95" s="19"/>
      <c r="X95" s="19"/>
      <c r="Y95" s="19"/>
    </row>
    <row r="96" spans="3:25" ht="28.2" x14ac:dyDescent="0.3">
      <c r="C96" s="65" t="s">
        <v>75</v>
      </c>
    </row>
    <row r="97" spans="3:28" x14ac:dyDescent="0.3">
      <c r="C97" s="122" t="s">
        <v>76</v>
      </c>
      <c r="D97" s="17"/>
      <c r="E97" s="17"/>
      <c r="F97" s="17">
        <v>0</v>
      </c>
      <c r="G97" s="17">
        <f>F101</f>
        <v>276027.56704243307</v>
      </c>
      <c r="H97" s="17">
        <f t="shared" ref="H97:Y97" si="21">G101</f>
        <v>263867.91881416464</v>
      </c>
      <c r="I97" s="17">
        <f t="shared" si="21"/>
        <v>251509.94518006357</v>
      </c>
      <c r="J97" s="17">
        <f t="shared" si="21"/>
        <v>238944.51948423954</v>
      </c>
      <c r="K97" s="17">
        <f t="shared" si="21"/>
        <v>226159.75207084045</v>
      </c>
      <c r="L97" s="17">
        <f t="shared" si="21"/>
        <v>213145.64628929092</v>
      </c>
      <c r="M97" s="17">
        <f t="shared" si="21"/>
        <v>199891.76226784126</v>
      </c>
      <c r="N97" s="17">
        <f t="shared" si="21"/>
        <v>186384.93503279742</v>
      </c>
      <c r="O97" s="17">
        <f t="shared" si="21"/>
        <v>172613.75475916878</v>
      </c>
      <c r="P97" s="17">
        <f t="shared" si="21"/>
        <v>158566.31428339801</v>
      </c>
      <c r="Q97" s="17">
        <f t="shared" si="21"/>
        <v>144230.19014688284</v>
      </c>
      <c r="R97" s="17">
        <f t="shared" si="21"/>
        <v>129592.42288595505</v>
      </c>
      <c r="S97" s="17">
        <f t="shared" si="21"/>
        <v>114641.61886301171</v>
      </c>
      <c r="T97" s="17">
        <f t="shared" si="21"/>
        <v>99363.712523777504</v>
      </c>
      <c r="U97" s="17">
        <f t="shared" si="21"/>
        <v>83744.039955005239</v>
      </c>
      <c r="V97" s="17">
        <f t="shared" si="21"/>
        <v>67769.353719170031</v>
      </c>
      <c r="W97" s="17">
        <f t="shared" si="21"/>
        <v>51423.74877425516</v>
      </c>
      <c r="X97" s="17">
        <f t="shared" si="21"/>
        <v>34690.65158575699</v>
      </c>
      <c r="Y97" s="18">
        <f t="shared" si="21"/>
        <v>17554.748538345113</v>
      </c>
    </row>
    <row r="98" spans="3:28" x14ac:dyDescent="0.3">
      <c r="C98" s="126" t="s">
        <v>77</v>
      </c>
      <c r="D98" s="19"/>
      <c r="E98" s="19"/>
      <c r="F98" s="19">
        <f>(F9+F11)*-1</f>
        <v>288000</v>
      </c>
      <c r="G98" s="19">
        <f>(G9+G11)*-1</f>
        <v>0</v>
      </c>
      <c r="H98" s="19">
        <f t="shared" ref="H98:Y98" si="22">(H9+H11)*-1</f>
        <v>0</v>
      </c>
      <c r="I98" s="19">
        <f t="shared" si="22"/>
        <v>0</v>
      </c>
      <c r="J98" s="19">
        <f t="shared" si="22"/>
        <v>0</v>
      </c>
      <c r="K98" s="19">
        <f t="shared" si="22"/>
        <v>0</v>
      </c>
      <c r="L98" s="19">
        <f t="shared" si="22"/>
        <v>0</v>
      </c>
      <c r="M98" s="19">
        <f t="shared" si="22"/>
        <v>0</v>
      </c>
      <c r="N98" s="19">
        <f t="shared" si="22"/>
        <v>0</v>
      </c>
      <c r="O98" s="19">
        <f t="shared" si="22"/>
        <v>0</v>
      </c>
      <c r="P98" s="19">
        <f t="shared" si="22"/>
        <v>0</v>
      </c>
      <c r="Q98" s="19">
        <f t="shared" si="22"/>
        <v>0</v>
      </c>
      <c r="R98" s="19">
        <f t="shared" si="22"/>
        <v>0</v>
      </c>
      <c r="S98" s="19">
        <f t="shared" si="22"/>
        <v>0</v>
      </c>
      <c r="T98" s="19">
        <f t="shared" si="22"/>
        <v>0</v>
      </c>
      <c r="U98" s="19">
        <f t="shared" si="22"/>
        <v>0</v>
      </c>
      <c r="V98" s="19">
        <f t="shared" si="22"/>
        <v>0</v>
      </c>
      <c r="W98" s="19">
        <f t="shared" si="22"/>
        <v>0</v>
      </c>
      <c r="X98" s="19">
        <f t="shared" si="22"/>
        <v>0</v>
      </c>
      <c r="Y98" s="22">
        <f t="shared" si="22"/>
        <v>0</v>
      </c>
    </row>
    <row r="99" spans="3:28" x14ac:dyDescent="0.3">
      <c r="C99" s="126" t="s">
        <v>78</v>
      </c>
      <c r="D99" s="19"/>
      <c r="E99" s="19"/>
      <c r="F99" s="19">
        <f>(F97+F98)*Assumptions!D16</f>
        <v>11520</v>
      </c>
      <c r="G99" s="19">
        <f>(G97+G98)*Assumptions!E16</f>
        <v>11041.102681697323</v>
      </c>
      <c r="H99" s="19">
        <f>(H97+H98)*Assumptions!F16</f>
        <v>10554.716752566586</v>
      </c>
      <c r="I99" s="19">
        <f>(I97+I98)*Assumptions!G16</f>
        <v>10060.397807202544</v>
      </c>
      <c r="J99" s="19">
        <f>(J97+J98)*Assumptions!H16</f>
        <v>9557.7807793695811</v>
      </c>
      <c r="K99" s="19">
        <f>(K97+K98)*Assumptions!I16</f>
        <v>9046.3900828336173</v>
      </c>
      <c r="L99" s="19">
        <f>(L97+L98)*Assumptions!J16</f>
        <v>8525.825851571637</v>
      </c>
      <c r="M99" s="19">
        <f>(M97+M98)*Assumptions!K16</f>
        <v>7995.6704907136509</v>
      </c>
      <c r="N99" s="19">
        <f>(N97+N98)*Assumptions!L16</f>
        <v>7455.3974013118968</v>
      </c>
      <c r="O99" s="19">
        <f>(O97+O98)*Assumptions!M16</f>
        <v>6904.5501903667509</v>
      </c>
      <c r="P99" s="19">
        <f>(P97+P98)*Assumptions!N16</f>
        <v>6342.6525713359206</v>
      </c>
      <c r="Q99" s="19">
        <f>(Q97+Q98)*Assumptions!O16</f>
        <v>5769.2076058753137</v>
      </c>
      <c r="R99" s="19">
        <f>(R97+R98)*Assumptions!P16</f>
        <v>5183.6969154382023</v>
      </c>
      <c r="S99" s="19">
        <f>(S97+S98)*Assumptions!Q16</f>
        <v>4585.6647545204687</v>
      </c>
      <c r="T99" s="19">
        <f>(T97+T98)*Assumptions!R16</f>
        <v>3974.5485009511003</v>
      </c>
      <c r="U99" s="19">
        <f>(U97+U98)*Assumptions!S16</f>
        <v>3349.7615982002098</v>
      </c>
      <c r="V99" s="19">
        <f>(V97+V98)*Assumptions!T16</f>
        <v>2710.7741487668013</v>
      </c>
      <c r="W99" s="19">
        <f>(W97+W98)*Assumptions!U16</f>
        <v>2056.9499509702064</v>
      </c>
      <c r="X99" s="19">
        <f>(X97+X98)*Assumptions!V16</f>
        <v>1387.6260634302796</v>
      </c>
      <c r="Y99" s="22">
        <f>(Y97+Y98)*Assumptions!W16</f>
        <v>702.18994153380459</v>
      </c>
    </row>
    <row r="100" spans="3:28" x14ac:dyDescent="0.3">
      <c r="C100" s="126" t="s">
        <v>22</v>
      </c>
      <c r="D100" s="19"/>
      <c r="E100" s="19"/>
      <c r="F100" s="19">
        <f>-SUM(F97:F99)*F36/SUM(F36:$Y$36)</f>
        <v>-23492.432957566918</v>
      </c>
      <c r="G100" s="19">
        <f>-SUM(G97:G99)*G36/SUM(G36:$Y$36)</f>
        <v>-23200.750909965769</v>
      </c>
      <c r="H100" s="19">
        <f>-SUM(H97:H99)*H36/SUM(H36:$Y$36)</f>
        <v>-22912.690386667637</v>
      </c>
      <c r="I100" s="19">
        <f>-SUM(I97:I99)*I36/SUM(I36:$Y$36)</f>
        <v>-22625.823503026561</v>
      </c>
      <c r="J100" s="19">
        <f>-SUM(J97:J99)*J36/SUM(J36:$Y$36)</f>
        <v>-22342.548192768663</v>
      </c>
      <c r="K100" s="19">
        <f>-SUM(K97:K99)*K36/SUM(K36:$Y$36)</f>
        <v>-22060.495864383156</v>
      </c>
      <c r="L100" s="19">
        <f>-SUM(L97:L99)*L36/SUM(L36:$Y$36)</f>
        <v>-21779.709873021289</v>
      </c>
      <c r="M100" s="19">
        <f>-SUM(M97:M99)*M36/SUM(M36:$Y$36)</f>
        <v>-21502.497725757472</v>
      </c>
      <c r="N100" s="19">
        <f>-SUM(N97:N99)*N36/SUM(N36:$Y$36)</f>
        <v>-21226.577674940549</v>
      </c>
      <c r="O100" s="19">
        <f>-SUM(O97:O99)*O36/SUM(O36:$Y$36)</f>
        <v>-20951.990666137517</v>
      </c>
      <c r="P100" s="19">
        <f>-SUM(P97:P99)*P36/SUM(P36:$Y$36)</f>
        <v>-20678.776707851088</v>
      </c>
      <c r="Q100" s="19">
        <f>-SUM(Q97:Q99)*Q36/SUM(Q36:$Y$36)</f>
        <v>-20406.974866803092</v>
      </c>
      <c r="R100" s="19">
        <f>-SUM(R97:R99)*R36/SUM(R36:$Y$36)</f>
        <v>-20134.500938381534</v>
      </c>
      <c r="S100" s="19">
        <f>-SUM(S97:S99)*S36/SUM(S36:$Y$36)</f>
        <v>-19863.571093754676</v>
      </c>
      <c r="T100" s="19">
        <f>-SUM(T97:T99)*T36/SUM(T36:$Y$36)</f>
        <v>-19594.221069723364</v>
      </c>
      <c r="U100" s="19">
        <f>-SUM(U97:U99)*U36/SUM(U36:$Y$36)</f>
        <v>-19324.447834035407</v>
      </c>
      <c r="V100" s="19">
        <f>-SUM(V97:V99)*V36/SUM(V36:$Y$36)</f>
        <v>-19056.379093681669</v>
      </c>
      <c r="W100" s="19">
        <f>-SUM(W97:W99)*W36/SUM(W36:$Y$36)</f>
        <v>-18790.047139468377</v>
      </c>
      <c r="X100" s="19">
        <f>-SUM(X97:X99)*X36/SUM(X36:$Y$36)</f>
        <v>-18523.529110842159</v>
      </c>
      <c r="Y100" s="22">
        <f>-SUM(Y97:Y99)*Y36/SUM(Y36:$Y$36)</f>
        <v>-18256.938479878918</v>
      </c>
    </row>
    <row r="101" spans="3:28" x14ac:dyDescent="0.3">
      <c r="C101" s="123" t="s">
        <v>79</v>
      </c>
      <c r="D101" s="23"/>
      <c r="E101" s="23"/>
      <c r="F101" s="23">
        <f>SUM(F97:F100)</f>
        <v>276027.56704243307</v>
      </c>
      <c r="G101" s="23">
        <f>SUM(G97:G100)</f>
        <v>263867.91881416464</v>
      </c>
      <c r="H101" s="23">
        <f t="shared" ref="H101:Y101" si="23">SUM(H97:H100)</f>
        <v>251509.94518006357</v>
      </c>
      <c r="I101" s="23">
        <f t="shared" si="23"/>
        <v>238944.51948423954</v>
      </c>
      <c r="J101" s="23">
        <f t="shared" si="23"/>
        <v>226159.75207084045</v>
      </c>
      <c r="K101" s="23">
        <f t="shared" si="23"/>
        <v>213145.64628929092</v>
      </c>
      <c r="L101" s="23">
        <f t="shared" si="23"/>
        <v>199891.76226784126</v>
      </c>
      <c r="M101" s="23">
        <f t="shared" si="23"/>
        <v>186384.93503279742</v>
      </c>
      <c r="N101" s="23">
        <f t="shared" si="23"/>
        <v>172613.75475916878</v>
      </c>
      <c r="O101" s="23">
        <f t="shared" si="23"/>
        <v>158566.31428339801</v>
      </c>
      <c r="P101" s="23">
        <f t="shared" si="23"/>
        <v>144230.19014688284</v>
      </c>
      <c r="Q101" s="23">
        <f t="shared" si="23"/>
        <v>129592.42288595505</v>
      </c>
      <c r="R101" s="23">
        <f t="shared" si="23"/>
        <v>114641.61886301171</v>
      </c>
      <c r="S101" s="23">
        <f t="shared" si="23"/>
        <v>99363.712523777504</v>
      </c>
      <c r="T101" s="23">
        <f t="shared" si="23"/>
        <v>83744.039955005239</v>
      </c>
      <c r="U101" s="23">
        <f t="shared" si="23"/>
        <v>67769.353719170031</v>
      </c>
      <c r="V101" s="23">
        <f t="shared" si="23"/>
        <v>51423.74877425516</v>
      </c>
      <c r="W101" s="23">
        <f t="shared" si="23"/>
        <v>34690.65158575699</v>
      </c>
      <c r="X101" s="23">
        <f t="shared" si="23"/>
        <v>17554.748538345113</v>
      </c>
      <c r="Y101" s="24">
        <f t="shared" si="23"/>
        <v>0</v>
      </c>
      <c r="Z101" s="19"/>
    </row>
    <row r="103" spans="3:28" x14ac:dyDescent="0.3">
      <c r="C103" s="73" t="s">
        <v>39</v>
      </c>
      <c r="AB103" s="7" t="s">
        <v>2</v>
      </c>
    </row>
    <row r="104" spans="3:28" ht="41.4" x14ac:dyDescent="0.3">
      <c r="C104" s="127" t="s">
        <v>24</v>
      </c>
      <c r="D104" s="17"/>
      <c r="E104" s="17"/>
      <c r="F104" s="17">
        <f>-F82</f>
        <v>41072.53686674979</v>
      </c>
      <c r="G104" s="17">
        <f t="shared" ref="G104:Y104" si="24">-G82</f>
        <v>40562.580249012222</v>
      </c>
      <c r="H104" s="17">
        <f t="shared" si="24"/>
        <v>40058.955252640495</v>
      </c>
      <c r="I104" s="17">
        <f t="shared" si="24"/>
        <v>39557.417132877446</v>
      </c>
      <c r="J104" s="35">
        <f t="shared" si="24"/>
        <v>33368.459952765959</v>
      </c>
      <c r="K104" s="35">
        <f t="shared" si="24"/>
        <v>32947.216514322252</v>
      </c>
      <c r="L104" s="35">
        <f t="shared" si="24"/>
        <v>32527.864342527959</v>
      </c>
      <c r="M104" s="35">
        <f t="shared" si="24"/>
        <v>32113.849685176254</v>
      </c>
      <c r="N104" s="35">
        <f t="shared" si="24"/>
        <v>31701.764766016073</v>
      </c>
      <c r="O104" s="35">
        <f t="shared" si="24"/>
        <v>31291.670737002893</v>
      </c>
      <c r="P104" s="35">
        <f t="shared" si="24"/>
        <v>30883.627350592371</v>
      </c>
      <c r="Q104" s="35">
        <f t="shared" si="24"/>
        <v>30477.69295269619</v>
      </c>
      <c r="R104" s="35">
        <f t="shared" si="24"/>
        <v>30070.754796391797</v>
      </c>
      <c r="S104" s="35">
        <f t="shared" si="24"/>
        <v>29666.122719851555</v>
      </c>
      <c r="T104" s="35">
        <f t="shared" si="24"/>
        <v>29263.850095770358</v>
      </c>
      <c r="U104" s="35">
        <f t="shared" si="24"/>
        <v>28860.94540765179</v>
      </c>
      <c r="V104" s="35">
        <f t="shared" si="24"/>
        <v>28460.586372956852</v>
      </c>
      <c r="W104" s="35">
        <f t="shared" si="24"/>
        <v>28062.821217808403</v>
      </c>
      <c r="X104" s="35">
        <f t="shared" si="24"/>
        <v>27664.778161655009</v>
      </c>
      <c r="Y104" s="36">
        <f t="shared" si="24"/>
        <v>27266.626674352468</v>
      </c>
      <c r="Z104" s="19"/>
      <c r="AB104" s="2">
        <f>NPV(0.04,F104:Z104)</f>
        <v>451468.61455967202</v>
      </c>
    </row>
    <row r="105" spans="3:28" x14ac:dyDescent="0.3">
      <c r="C105" s="128" t="s">
        <v>25</v>
      </c>
      <c r="D105" s="19"/>
      <c r="E105" s="19"/>
      <c r="F105" s="19">
        <f>-F71</f>
        <v>8000</v>
      </c>
      <c r="G105" s="19">
        <f t="shared" ref="G105:Y105" si="25">-G71</f>
        <v>7596.8</v>
      </c>
      <c r="H105" s="19">
        <f t="shared" si="25"/>
        <v>9017.4016000000029</v>
      </c>
      <c r="I105" s="19">
        <f t="shared" si="25"/>
        <v>8562.0228192000013</v>
      </c>
      <c r="J105" s="19">
        <f t="shared" si="25"/>
        <v>9755.5688001964809</v>
      </c>
      <c r="K105" s="19">
        <f t="shared" si="25"/>
        <v>10805.593188724297</v>
      </c>
      <c r="L105" s="19">
        <f t="shared" si="25"/>
        <v>10257.749614055976</v>
      </c>
      <c r="M105" s="19">
        <f t="shared" si="25"/>
        <v>11128.779095569529</v>
      </c>
      <c r="N105" s="19">
        <f t="shared" si="25"/>
        <v>11883.866757203921</v>
      </c>
      <c r="O105" s="19">
        <f t="shared" si="25"/>
        <v>12532.197710291379</v>
      </c>
      <c r="P105" s="19">
        <f t="shared" si="25"/>
        <v>13082.361189773168</v>
      </c>
      <c r="Q105" s="19">
        <f t="shared" si="25"/>
        <v>14670.916629880447</v>
      </c>
      <c r="R105" s="19">
        <f t="shared" si="25"/>
        <v>14988.936961134321</v>
      </c>
      <c r="S105" s="19">
        <f t="shared" si="25"/>
        <v>15234.113144284302</v>
      </c>
      <c r="T105" s="19">
        <f t="shared" si="25"/>
        <v>16376.163826334148</v>
      </c>
      <c r="U105" s="19">
        <f t="shared" si="25"/>
        <v>16443.017106895768</v>
      </c>
      <c r="V105" s="19">
        <f t="shared" si="25"/>
        <v>16457.450421911824</v>
      </c>
      <c r="W105" s="19">
        <f t="shared" si="25"/>
        <v>17245.7622971214</v>
      </c>
      <c r="X105" s="19">
        <f t="shared" si="25"/>
        <v>17904.139803483413</v>
      </c>
      <c r="Y105" s="22">
        <f t="shared" si="25"/>
        <v>16967.75329176123</v>
      </c>
      <c r="Z105" s="19"/>
      <c r="AB105" s="2">
        <f t="shared" ref="AB105:AB107" si="26">NPV(0.04,F105:Z105)</f>
        <v>165888.58623003133</v>
      </c>
    </row>
    <row r="106" spans="3:28" ht="42" x14ac:dyDescent="0.3">
      <c r="C106" s="128" t="s">
        <v>80</v>
      </c>
      <c r="D106" s="19"/>
      <c r="E106" s="19"/>
      <c r="F106" s="19">
        <f t="shared" ref="F106:Y106" si="27">-F15</f>
        <v>80000</v>
      </c>
      <c r="G106" s="19">
        <f t="shared" si="27"/>
        <v>75968</v>
      </c>
      <c r="H106" s="19">
        <f t="shared" si="27"/>
        <v>90174.016000000018</v>
      </c>
      <c r="I106" s="19">
        <f t="shared" si="27"/>
        <v>85620.22819200001</v>
      </c>
      <c r="J106" s="19">
        <f t="shared" si="27"/>
        <v>97555.688001964809</v>
      </c>
      <c r="K106" s="19">
        <f t="shared" si="27"/>
        <v>108055.93188724296</v>
      </c>
      <c r="L106" s="19">
        <f t="shared" si="27"/>
        <v>102577.49614055976</v>
      </c>
      <c r="M106" s="19">
        <f t="shared" si="27"/>
        <v>111287.79095569528</v>
      </c>
      <c r="N106" s="19">
        <f t="shared" si="27"/>
        <v>118838.66757203921</v>
      </c>
      <c r="O106" s="19">
        <f t="shared" si="27"/>
        <v>125321.97710291378</v>
      </c>
      <c r="P106" s="19">
        <f t="shared" si="27"/>
        <v>130823.61189773168</v>
      </c>
      <c r="Q106" s="19">
        <f t="shared" si="27"/>
        <v>146709.16629880446</v>
      </c>
      <c r="R106" s="19">
        <f t="shared" si="27"/>
        <v>149889.36961134319</v>
      </c>
      <c r="S106" s="19">
        <f t="shared" si="27"/>
        <v>152341.13144284301</v>
      </c>
      <c r="T106" s="19">
        <f t="shared" si="27"/>
        <v>163761.63826334148</v>
      </c>
      <c r="U106" s="19">
        <f t="shared" si="27"/>
        <v>164430.17106895769</v>
      </c>
      <c r="V106" s="19">
        <f t="shared" si="27"/>
        <v>164574.50421911824</v>
      </c>
      <c r="W106" s="19">
        <f t="shared" si="27"/>
        <v>172457.622971214</v>
      </c>
      <c r="X106" s="19">
        <f t="shared" si="27"/>
        <v>179041.39803483413</v>
      </c>
      <c r="Y106" s="22">
        <f t="shared" si="27"/>
        <v>169677.53291761229</v>
      </c>
      <c r="Z106" s="19"/>
      <c r="AB106" s="2">
        <f>NPV(0.04,F106:Z106)</f>
        <v>1658885.8623003138</v>
      </c>
    </row>
    <row r="107" spans="3:28" ht="42" x14ac:dyDescent="0.3">
      <c r="C107" s="128" t="s">
        <v>81</v>
      </c>
      <c r="D107" s="19"/>
      <c r="E107" s="19"/>
      <c r="F107" s="19">
        <f>-F10-F12</f>
        <v>25000</v>
      </c>
      <c r="G107" s="19">
        <f>-G10-G12</f>
        <v>38458.800000000003</v>
      </c>
      <c r="H107" s="19">
        <f>-H10-H12</f>
        <v>36520.476479999998</v>
      </c>
      <c r="I107" s="19">
        <f>-I10-I12</f>
        <v>34676.192417760001</v>
      </c>
      <c r="J107" s="19">
        <f>-J10-J12</f>
        <v>32925.044700663122</v>
      </c>
      <c r="K107" s="29">
        <f>-K10-K23</f>
        <v>38977.31828789835</v>
      </c>
      <c r="L107" s="29">
        <f t="shared" ref="L107:Y107" si="28">-L10-L23</f>
        <v>37001.168250701907</v>
      </c>
      <c r="M107" s="29">
        <f t="shared" si="28"/>
        <v>35125.209020391325</v>
      </c>
      <c r="N107" s="29">
        <f t="shared" si="28"/>
        <v>33340.84840215544</v>
      </c>
      <c r="O107" s="29">
        <f t="shared" si="28"/>
        <v>31643.799218485728</v>
      </c>
      <c r="P107" s="29">
        <f t="shared" si="28"/>
        <v>30029.965458342958</v>
      </c>
      <c r="Q107" s="29">
        <f t="shared" si="28"/>
        <v>28495.434223421638</v>
      </c>
      <c r="R107" s="29">
        <f t="shared" si="28"/>
        <v>27033.618447760105</v>
      </c>
      <c r="S107" s="29">
        <f t="shared" si="28"/>
        <v>25644.090459545238</v>
      </c>
      <c r="T107" s="29">
        <f t="shared" si="28"/>
        <v>24323.419800878659</v>
      </c>
      <c r="U107" s="29">
        <f t="shared" si="28"/>
        <v>23065.898997173234</v>
      </c>
      <c r="V107" s="29">
        <f t="shared" si="28"/>
        <v>21871.085429119659</v>
      </c>
      <c r="W107" s="29">
        <f t="shared" si="28"/>
        <v>20735.976095348349</v>
      </c>
      <c r="X107" s="29">
        <f t="shared" si="28"/>
        <v>19655.631740780704</v>
      </c>
      <c r="Y107" s="32">
        <f t="shared" si="28"/>
        <v>18627.642200737871</v>
      </c>
      <c r="Z107" s="19"/>
      <c r="AB107" s="2">
        <f t="shared" si="26"/>
        <v>411621.05974627478</v>
      </c>
    </row>
    <row r="108" spans="3:28" ht="28.2" x14ac:dyDescent="0.3">
      <c r="C108" s="128" t="s">
        <v>26</v>
      </c>
      <c r="D108" s="19"/>
      <c r="E108" s="19"/>
      <c r="F108" s="19">
        <f>-F100</f>
        <v>23492.432957566918</v>
      </c>
      <c r="G108" s="19">
        <f t="shared" ref="G108:Y108" si="29">-G100</f>
        <v>23200.750909965769</v>
      </c>
      <c r="H108" s="19">
        <f t="shared" si="29"/>
        <v>22912.690386667637</v>
      </c>
      <c r="I108" s="19">
        <f t="shared" si="29"/>
        <v>22625.823503026561</v>
      </c>
      <c r="J108" s="19">
        <f t="shared" si="29"/>
        <v>22342.548192768663</v>
      </c>
      <c r="K108" s="19">
        <f t="shared" si="29"/>
        <v>22060.495864383156</v>
      </c>
      <c r="L108" s="19">
        <f t="shared" si="29"/>
        <v>21779.709873021289</v>
      </c>
      <c r="M108" s="19">
        <f t="shared" si="29"/>
        <v>21502.497725757472</v>
      </c>
      <c r="N108" s="19">
        <f t="shared" si="29"/>
        <v>21226.577674940549</v>
      </c>
      <c r="O108" s="19">
        <f t="shared" si="29"/>
        <v>20951.990666137517</v>
      </c>
      <c r="P108" s="19">
        <f t="shared" si="29"/>
        <v>20678.776707851088</v>
      </c>
      <c r="Q108" s="19">
        <f t="shared" si="29"/>
        <v>20406.974866803092</v>
      </c>
      <c r="R108" s="19">
        <f t="shared" si="29"/>
        <v>20134.500938381534</v>
      </c>
      <c r="S108" s="19">
        <f t="shared" si="29"/>
        <v>19863.571093754676</v>
      </c>
      <c r="T108" s="19">
        <f t="shared" si="29"/>
        <v>19594.221069723364</v>
      </c>
      <c r="U108" s="19">
        <f t="shared" si="29"/>
        <v>19324.447834035407</v>
      </c>
      <c r="V108" s="19">
        <f t="shared" si="29"/>
        <v>19056.379093681669</v>
      </c>
      <c r="W108" s="19">
        <f t="shared" si="29"/>
        <v>18790.047139468377</v>
      </c>
      <c r="X108" s="19">
        <f t="shared" si="29"/>
        <v>18523.529110842159</v>
      </c>
      <c r="Y108" s="22">
        <f t="shared" si="29"/>
        <v>18256.938479878918</v>
      </c>
      <c r="Z108" s="19"/>
      <c r="AB108" s="2">
        <f>NPV(0.04,F108:Z108)</f>
        <v>287999.99999999983</v>
      </c>
    </row>
    <row r="109" spans="3:28" x14ac:dyDescent="0.3">
      <c r="C109" s="129" t="s">
        <v>19</v>
      </c>
      <c r="D109" s="19"/>
      <c r="E109" s="19"/>
      <c r="F109" s="39">
        <f>SUM(F104:F108)</f>
        <v>177564.96982431671</v>
      </c>
      <c r="G109" s="39">
        <f t="shared" ref="G109:Y109" si="30">SUM(G104:G108)</f>
        <v>185786.93115897803</v>
      </c>
      <c r="H109" s="39">
        <f t="shared" si="30"/>
        <v>198683.53971930817</v>
      </c>
      <c r="I109" s="39">
        <f t="shared" si="30"/>
        <v>191041.68406486404</v>
      </c>
      <c r="J109" s="46">
        <f t="shared" si="30"/>
        <v>195947.30964835902</v>
      </c>
      <c r="K109" s="46">
        <f t="shared" si="30"/>
        <v>212846.55574257101</v>
      </c>
      <c r="L109" s="46">
        <f t="shared" si="30"/>
        <v>204143.98822086689</v>
      </c>
      <c r="M109" s="46">
        <f t="shared" si="30"/>
        <v>211158.12648258987</v>
      </c>
      <c r="N109" s="46">
        <f t="shared" si="30"/>
        <v>216991.72517235519</v>
      </c>
      <c r="O109" s="46">
        <f t="shared" si="30"/>
        <v>221741.63543483129</v>
      </c>
      <c r="P109" s="46">
        <f t="shared" si="30"/>
        <v>225498.34260429125</v>
      </c>
      <c r="Q109" s="46">
        <f t="shared" si="30"/>
        <v>240760.18497160584</v>
      </c>
      <c r="R109" s="46">
        <f t="shared" si="30"/>
        <v>242117.18075501098</v>
      </c>
      <c r="S109" s="46">
        <f t="shared" si="30"/>
        <v>242749.02886027875</v>
      </c>
      <c r="T109" s="46">
        <f t="shared" si="30"/>
        <v>253319.29305604802</v>
      </c>
      <c r="U109" s="46">
        <f t="shared" si="30"/>
        <v>252124.48041471388</v>
      </c>
      <c r="V109" s="46">
        <f t="shared" si="30"/>
        <v>250420.00553678823</v>
      </c>
      <c r="W109" s="46">
        <f t="shared" si="30"/>
        <v>257292.22972096055</v>
      </c>
      <c r="X109" s="46">
        <f t="shared" si="30"/>
        <v>262789.47685159539</v>
      </c>
      <c r="Y109" s="48">
        <f t="shared" si="30"/>
        <v>250796.49356434279</v>
      </c>
      <c r="Z109" s="19"/>
      <c r="AB109" s="39">
        <f>SUM(AB104:AB108)</f>
        <v>2975864.1228362918</v>
      </c>
    </row>
    <row r="110" spans="3:28" x14ac:dyDescent="0.3">
      <c r="C110" s="129"/>
      <c r="D110" s="19"/>
      <c r="E110" s="19"/>
      <c r="F110" s="39"/>
      <c r="G110" s="19"/>
      <c r="H110" s="19"/>
      <c r="I110" s="19"/>
      <c r="J110" s="19"/>
      <c r="K110" s="19"/>
      <c r="L110" s="19"/>
      <c r="M110" s="19"/>
      <c r="N110" s="19"/>
      <c r="O110" s="19"/>
      <c r="P110" s="19"/>
      <c r="Q110" s="19"/>
      <c r="R110" s="19"/>
      <c r="S110" s="19"/>
      <c r="T110" s="19"/>
      <c r="U110" s="19"/>
      <c r="V110" s="19"/>
      <c r="W110" s="19"/>
      <c r="X110" s="19"/>
      <c r="Y110" s="22"/>
      <c r="Z110" s="19"/>
      <c r="AB110" s="31"/>
    </row>
    <row r="111" spans="3:28" x14ac:dyDescent="0.3">
      <c r="C111" s="112" t="s">
        <v>82</v>
      </c>
      <c r="D111" s="19"/>
      <c r="E111" s="19"/>
      <c r="F111" s="19">
        <f t="shared" ref="F111:Y111" si="31">F26</f>
        <v>-80000</v>
      </c>
      <c r="G111" s="19">
        <f t="shared" si="31"/>
        <v>-75968</v>
      </c>
      <c r="H111" s="19">
        <f t="shared" si="31"/>
        <v>-90174.016000000018</v>
      </c>
      <c r="I111" s="19">
        <f t="shared" si="31"/>
        <v>-85620.22819200001</v>
      </c>
      <c r="J111" s="19">
        <f t="shared" si="31"/>
        <v>-97555.688001964809</v>
      </c>
      <c r="K111" s="19">
        <f t="shared" si="31"/>
        <v>-108055.93188724296</v>
      </c>
      <c r="L111" s="19">
        <f t="shared" si="31"/>
        <v>-102577.49614055976</v>
      </c>
      <c r="M111" s="19">
        <f t="shared" si="31"/>
        <v>-111287.79095569528</v>
      </c>
      <c r="N111" s="19">
        <f t="shared" si="31"/>
        <v>-118838.66757203921</v>
      </c>
      <c r="O111" s="19">
        <f t="shared" si="31"/>
        <v>-125321.97710291378</v>
      </c>
      <c r="P111" s="19">
        <f t="shared" si="31"/>
        <v>-130823.61189773168</v>
      </c>
      <c r="Q111" s="19">
        <f t="shared" si="31"/>
        <v>-146709.16629880446</v>
      </c>
      <c r="R111" s="19">
        <f t="shared" si="31"/>
        <v>-149889.36961134319</v>
      </c>
      <c r="S111" s="19">
        <f t="shared" si="31"/>
        <v>-152341.13144284301</v>
      </c>
      <c r="T111" s="19">
        <f t="shared" si="31"/>
        <v>-163761.63826334148</v>
      </c>
      <c r="U111" s="19">
        <f t="shared" si="31"/>
        <v>-164430.17106895769</v>
      </c>
      <c r="V111" s="19">
        <f t="shared" si="31"/>
        <v>-164574.50421911824</v>
      </c>
      <c r="W111" s="19">
        <f t="shared" si="31"/>
        <v>-172457.622971214</v>
      </c>
      <c r="X111" s="19">
        <f t="shared" si="31"/>
        <v>-179041.39803483413</v>
      </c>
      <c r="Y111" s="22">
        <f t="shared" si="31"/>
        <v>-169677.53291761229</v>
      </c>
      <c r="Z111" s="19"/>
      <c r="AB111" s="6">
        <f t="shared" ref="AB111:AB119" si="32">NPV(0.04,F111:Z111)</f>
        <v>-1658885.8623003138</v>
      </c>
    </row>
    <row r="112" spans="3:28" x14ac:dyDescent="0.3">
      <c r="C112" s="128" t="s">
        <v>83</v>
      </c>
      <c r="D112" s="19"/>
      <c r="E112" s="19"/>
      <c r="F112" s="19">
        <f t="shared" ref="F112:Y112" si="33">F21+F23</f>
        <v>-25000</v>
      </c>
      <c r="G112" s="19">
        <f t="shared" si="33"/>
        <v>-38458.800000000003</v>
      </c>
      <c r="H112" s="29">
        <f t="shared" si="33"/>
        <v>-45537.878080000002</v>
      </c>
      <c r="I112" s="29">
        <f t="shared" si="33"/>
        <v>-43238.215236960008</v>
      </c>
      <c r="J112" s="29">
        <f t="shared" si="33"/>
        <v>-41054.685367493526</v>
      </c>
      <c r="K112" s="29">
        <f t="shared" si="33"/>
        <v>-38977.31828789835</v>
      </c>
      <c r="L112" s="29">
        <f t="shared" si="33"/>
        <v>-37001.168250701907</v>
      </c>
      <c r="M112" s="29">
        <f t="shared" si="33"/>
        <v>-35125.209020391325</v>
      </c>
      <c r="N112" s="29">
        <f t="shared" si="33"/>
        <v>-33340.84840215544</v>
      </c>
      <c r="O112" s="29">
        <f t="shared" si="33"/>
        <v>-31643.799218485728</v>
      </c>
      <c r="P112" s="29">
        <f t="shared" si="33"/>
        <v>-30029.965458342958</v>
      </c>
      <c r="Q112" s="29">
        <f t="shared" si="33"/>
        <v>-28495.434223421638</v>
      </c>
      <c r="R112" s="29">
        <f t="shared" si="33"/>
        <v>-27033.618447760105</v>
      </c>
      <c r="S112" s="29">
        <f t="shared" si="33"/>
        <v>-25644.090459545238</v>
      </c>
      <c r="T112" s="29">
        <f t="shared" si="33"/>
        <v>-24323.419800878659</v>
      </c>
      <c r="U112" s="29">
        <f t="shared" si="33"/>
        <v>-23065.898997173234</v>
      </c>
      <c r="V112" s="29">
        <f t="shared" si="33"/>
        <v>-21871.085429119659</v>
      </c>
      <c r="W112" s="29">
        <f t="shared" si="33"/>
        <v>-20735.976095348349</v>
      </c>
      <c r="X112" s="29">
        <f t="shared" si="33"/>
        <v>-19655.631740780704</v>
      </c>
      <c r="Y112" s="32">
        <f t="shared" si="33"/>
        <v>-18627.642200737871</v>
      </c>
      <c r="Z112" s="19"/>
      <c r="AB112" s="6">
        <f t="shared" si="32"/>
        <v>-433638.32195517351</v>
      </c>
    </row>
    <row r="113" spans="2:30" x14ac:dyDescent="0.3">
      <c r="C113" s="112" t="s">
        <v>22</v>
      </c>
      <c r="D113" s="19"/>
      <c r="E113" s="19"/>
      <c r="F113" s="19">
        <f>F100</f>
        <v>-23492.432957566918</v>
      </c>
      <c r="G113" s="19">
        <f t="shared" ref="G113:Y113" si="34">G100</f>
        <v>-23200.750909965769</v>
      </c>
      <c r="H113" s="19">
        <f t="shared" si="34"/>
        <v>-22912.690386667637</v>
      </c>
      <c r="I113" s="19">
        <f t="shared" si="34"/>
        <v>-22625.823503026561</v>
      </c>
      <c r="J113" s="19">
        <f t="shared" si="34"/>
        <v>-22342.548192768663</v>
      </c>
      <c r="K113" s="19">
        <f t="shared" si="34"/>
        <v>-22060.495864383156</v>
      </c>
      <c r="L113" s="19">
        <f t="shared" si="34"/>
        <v>-21779.709873021289</v>
      </c>
      <c r="M113" s="19">
        <f t="shared" si="34"/>
        <v>-21502.497725757472</v>
      </c>
      <c r="N113" s="19">
        <f t="shared" si="34"/>
        <v>-21226.577674940549</v>
      </c>
      <c r="O113" s="19">
        <f t="shared" si="34"/>
        <v>-20951.990666137517</v>
      </c>
      <c r="P113" s="19">
        <f t="shared" si="34"/>
        <v>-20678.776707851088</v>
      </c>
      <c r="Q113" s="19">
        <f t="shared" si="34"/>
        <v>-20406.974866803092</v>
      </c>
      <c r="R113" s="19">
        <f t="shared" si="34"/>
        <v>-20134.500938381534</v>
      </c>
      <c r="S113" s="19">
        <f t="shared" si="34"/>
        <v>-19863.571093754676</v>
      </c>
      <c r="T113" s="19">
        <f t="shared" si="34"/>
        <v>-19594.221069723364</v>
      </c>
      <c r="U113" s="19">
        <f t="shared" si="34"/>
        <v>-19324.447834035407</v>
      </c>
      <c r="V113" s="19">
        <f t="shared" si="34"/>
        <v>-19056.379093681669</v>
      </c>
      <c r="W113" s="19">
        <f t="shared" si="34"/>
        <v>-18790.047139468377</v>
      </c>
      <c r="X113" s="19">
        <f t="shared" si="34"/>
        <v>-18523.529110842159</v>
      </c>
      <c r="Y113" s="22">
        <f t="shared" si="34"/>
        <v>-18256.938479878918</v>
      </c>
      <c r="Z113" s="19"/>
      <c r="AB113" s="6">
        <f t="shared" si="32"/>
        <v>-287999.99999999983</v>
      </c>
    </row>
    <row r="114" spans="2:30" ht="28.2" x14ac:dyDescent="0.3">
      <c r="C114" s="130" t="s">
        <v>87</v>
      </c>
      <c r="D114" s="19"/>
      <c r="E114" s="19"/>
      <c r="F114" s="39">
        <f>SUM(F111:F113)</f>
        <v>-128492.43295756693</v>
      </c>
      <c r="G114" s="39">
        <f t="shared" ref="G114:Y114" si="35">SUM(G111:G113)</f>
        <v>-137627.55090996576</v>
      </c>
      <c r="H114" s="46">
        <f t="shared" si="35"/>
        <v>-158624.58446666767</v>
      </c>
      <c r="I114" s="46">
        <f t="shared" si="35"/>
        <v>-151484.26693198658</v>
      </c>
      <c r="J114" s="46">
        <f t="shared" si="35"/>
        <v>-160952.92156222701</v>
      </c>
      <c r="K114" s="46">
        <f t="shared" si="35"/>
        <v>-169093.74603952447</v>
      </c>
      <c r="L114" s="46">
        <f t="shared" si="35"/>
        <v>-161358.37426428296</v>
      </c>
      <c r="M114" s="46">
        <f t="shared" si="35"/>
        <v>-167915.49770184408</v>
      </c>
      <c r="N114" s="46">
        <f t="shared" si="35"/>
        <v>-173406.0936491352</v>
      </c>
      <c r="O114" s="46">
        <f t="shared" si="35"/>
        <v>-177917.766987537</v>
      </c>
      <c r="P114" s="46">
        <f t="shared" si="35"/>
        <v>-181532.35406392574</v>
      </c>
      <c r="Q114" s="46">
        <f t="shared" si="35"/>
        <v>-195611.5753890292</v>
      </c>
      <c r="R114" s="46">
        <f t="shared" si="35"/>
        <v>-197057.48899748485</v>
      </c>
      <c r="S114" s="46">
        <f t="shared" si="35"/>
        <v>-197848.7929961429</v>
      </c>
      <c r="T114" s="46">
        <f t="shared" si="35"/>
        <v>-207679.27913394349</v>
      </c>
      <c r="U114" s="46">
        <f t="shared" si="35"/>
        <v>-206820.51790016633</v>
      </c>
      <c r="V114" s="46">
        <f t="shared" si="35"/>
        <v>-205501.96874191958</v>
      </c>
      <c r="W114" s="46">
        <f t="shared" si="35"/>
        <v>-211983.64620603074</v>
      </c>
      <c r="X114" s="46">
        <f t="shared" si="35"/>
        <v>-217220.55888645697</v>
      </c>
      <c r="Y114" s="48">
        <f t="shared" si="35"/>
        <v>-206562.11359822907</v>
      </c>
      <c r="Z114" s="19"/>
      <c r="AB114" s="39">
        <f>SUM(AB111:AB113)</f>
        <v>-2380524.1842554873</v>
      </c>
    </row>
    <row r="115" spans="2:30" x14ac:dyDescent="0.3">
      <c r="C115" s="131"/>
      <c r="D115" s="19"/>
      <c r="E115" s="19"/>
      <c r="F115" s="19"/>
      <c r="G115" s="19"/>
      <c r="H115" s="19"/>
      <c r="I115" s="19"/>
      <c r="J115" s="19"/>
      <c r="K115" s="19"/>
      <c r="L115" s="19"/>
      <c r="M115" s="19"/>
      <c r="N115" s="19"/>
      <c r="O115" s="19"/>
      <c r="P115" s="19"/>
      <c r="Q115" s="19"/>
      <c r="R115" s="19"/>
      <c r="S115" s="19"/>
      <c r="T115" s="19"/>
      <c r="U115" s="19"/>
      <c r="V115" s="19"/>
      <c r="W115" s="19"/>
      <c r="X115" s="19"/>
      <c r="Y115" s="22"/>
      <c r="Z115" s="19"/>
      <c r="AB115" s="6"/>
    </row>
    <row r="116" spans="2:30" x14ac:dyDescent="0.3">
      <c r="C116" s="133" t="s">
        <v>21</v>
      </c>
      <c r="D116" s="19"/>
      <c r="E116" s="19"/>
      <c r="F116" s="39">
        <f t="shared" ref="F116:Y116" si="36">F24+F25</f>
        <v>-75000</v>
      </c>
      <c r="G116" s="39">
        <f t="shared" si="36"/>
        <v>-14244</v>
      </c>
      <c r="H116" s="39">
        <f t="shared" si="36"/>
        <v>-13526.102400000002</v>
      </c>
      <c r="I116" s="39">
        <f t="shared" si="36"/>
        <v>-12843.034228800003</v>
      </c>
      <c r="J116" s="39">
        <f t="shared" si="36"/>
        <v>-12194.461000245601</v>
      </c>
      <c r="K116" s="39">
        <f t="shared" si="36"/>
        <v>-11577.421273633174</v>
      </c>
      <c r="L116" s="39">
        <f t="shared" si="36"/>
        <v>-10990.446015059973</v>
      </c>
      <c r="M116" s="39">
        <f t="shared" si="36"/>
        <v>-10433.230402096431</v>
      </c>
      <c r="N116" s="39">
        <f t="shared" si="36"/>
        <v>-9903.2222976699322</v>
      </c>
      <c r="O116" s="39">
        <f t="shared" si="36"/>
        <v>-9399.1482827185337</v>
      </c>
      <c r="P116" s="39">
        <f t="shared" si="36"/>
        <v>-8919.7917202998869</v>
      </c>
      <c r="Q116" s="39">
        <f t="shared" si="36"/>
        <v>-8463.9903633925642</v>
      </c>
      <c r="R116" s="39">
        <f t="shared" si="36"/>
        <v>-8029.7876577505267</v>
      </c>
      <c r="S116" s="39">
        <f t="shared" si="36"/>
        <v>-7617.0565721421499</v>
      </c>
      <c r="T116" s="39">
        <f t="shared" si="36"/>
        <v>-7224.7781586768288</v>
      </c>
      <c r="U116" s="39">
        <f t="shared" si="36"/>
        <v>-6851.2571278732366</v>
      </c>
      <c r="V116" s="39">
        <f t="shared" si="36"/>
        <v>-6496.3620086494038</v>
      </c>
      <c r="W116" s="39">
        <f t="shared" si="36"/>
        <v>-6159.2008204005006</v>
      </c>
      <c r="X116" s="39">
        <f t="shared" si="36"/>
        <v>-5838.3064576576344</v>
      </c>
      <c r="Y116" s="44">
        <f t="shared" si="36"/>
        <v>-5532.9630299221399</v>
      </c>
      <c r="Z116" s="19"/>
      <c r="AB116" s="3">
        <f>NPV(0.04,F25:Y25)+F24</f>
        <v>-198694.19956135267</v>
      </c>
    </row>
    <row r="117" spans="2:30" x14ac:dyDescent="0.3">
      <c r="C117" s="125"/>
      <c r="D117" s="19"/>
      <c r="E117" s="19"/>
      <c r="F117" s="19"/>
      <c r="G117" s="19"/>
      <c r="H117" s="19"/>
      <c r="I117" s="19"/>
      <c r="J117" s="19"/>
      <c r="K117" s="19"/>
      <c r="L117" s="19"/>
      <c r="M117" s="19"/>
      <c r="N117" s="19"/>
      <c r="O117" s="19"/>
      <c r="P117" s="19"/>
      <c r="Q117" s="19"/>
      <c r="R117" s="19"/>
      <c r="S117" s="19"/>
      <c r="T117" s="19"/>
      <c r="U117" s="19"/>
      <c r="V117" s="19"/>
      <c r="W117" s="19"/>
      <c r="X117" s="19"/>
      <c r="Y117" s="22"/>
      <c r="Z117" s="19"/>
      <c r="AB117" s="6"/>
    </row>
    <row r="118" spans="2:30" x14ac:dyDescent="0.3">
      <c r="C118" s="122" t="s">
        <v>84</v>
      </c>
      <c r="D118" s="19"/>
      <c r="E118" s="19"/>
      <c r="F118" s="19">
        <f>SUM(F86:F87)*Assumptions!D17+SUM(F8:F11)*Assumptions!D17</f>
        <v>990</v>
      </c>
      <c r="G118" s="19">
        <f>SUM(G86:G87)*Assumptions!E17+SUM(G8:G11)*Assumptions!E17</f>
        <v>6680.9098409962617</v>
      </c>
      <c r="H118" s="19">
        <f>SUM(H86:H87)*Assumptions!F17+SUM(H8:H11)*Assumptions!F17</f>
        <v>12244.425593830558</v>
      </c>
      <c r="I118" s="19">
        <f>SUM(I86:I87)*Assumptions!G17+SUM(I8:I11)*Assumptions!G17</f>
        <v>16800.298900359758</v>
      </c>
      <c r="J118" s="19">
        <f>SUM(J86:J87)*Assumptions!H17+SUM(J8:J11)*Assumptions!H17</f>
        <v>21264.604516447653</v>
      </c>
      <c r="K118" s="29">
        <f>SUM(K86:K87)*Assumptions!I17+SUM(K8:K11)*Assumptions!I17</f>
        <v>25098.668563370324</v>
      </c>
      <c r="L118" s="29">
        <f>SUM(L86:L87)*Assumptions!J17+SUM(L8:L11)*Assumptions!J17</f>
        <v>27765.651754916111</v>
      </c>
      <c r="M118" s="29">
        <f>SUM(M86:M87)*Assumptions!K17+SUM(M8:M11)*Assumptions!K17</f>
        <v>30398.700099412184</v>
      </c>
      <c r="N118" s="29">
        <f>SUM(N86:N87)*Assumptions!L17+SUM(N8:N11)*Assumptions!L17</f>
        <v>32314.786923020089</v>
      </c>
      <c r="O118" s="29">
        <f>SUM(O86:O87)*Assumptions!M17+SUM(O8:O11)*Assumptions!M17</f>
        <v>33562.59410718071</v>
      </c>
      <c r="P118" s="29">
        <f>SUM(P86:P87)*Assumptions!N17+SUM(P8:P11)*Assumptions!N17</f>
        <v>34187.260236908078</v>
      </c>
      <c r="Q118" s="29">
        <f>SUM(Q86:Q87)*Assumptions!O17+SUM(Q8:Q11)*Assumptions!O17</f>
        <v>34230.575982095877</v>
      </c>
      <c r="R118" s="29">
        <f>SUM(R86:R87)*Assumptions!P17+SUM(R8:R11)*Assumptions!P17</f>
        <v>33171.797514183934</v>
      </c>
      <c r="S118" s="29">
        <f>SUM(S86:S87)*Assumptions!Q17+SUM(S8:S11)*Assumptions!Q17</f>
        <v>31612.503430575955</v>
      </c>
      <c r="T118" s="29">
        <f>SUM(T86:T87)*Assumptions!R17+SUM(T8:T11)*Assumptions!R17</f>
        <v>29584.442602100997</v>
      </c>
      <c r="U118" s="29">
        <f>SUM(U86:U87)*Assumptions!S17+SUM(U8:U11)*Assumptions!S17</f>
        <v>26639.229923654904</v>
      </c>
      <c r="V118" s="29">
        <f>SUM(V86:V87)*Assumptions!T17+SUM(V8:V11)*Assumptions!T17</f>
        <v>23286.916945558423</v>
      </c>
      <c r="W118" s="29">
        <f>SUM(W86:W87)*Assumptions!U17+SUM(W8:W11)*Assumptions!U17</f>
        <v>19550.765191667</v>
      </c>
      <c r="X118" s="29">
        <f>SUM(X86:X87)*Assumptions!V17+SUM(X8:X11)*Assumptions!V17</f>
        <v>15044.744176655675</v>
      </c>
      <c r="Y118" s="32">
        <f>SUM(Y86:Y87)*Assumptions!W17+SUM(Y8:Y11)*Assumptions!W17</f>
        <v>9814.4203826052981</v>
      </c>
      <c r="Z118" s="19"/>
      <c r="AB118" s="6">
        <f t="shared" si="32"/>
        <v>304019.17748986033</v>
      </c>
    </row>
    <row r="119" spans="2:30" x14ac:dyDescent="0.3">
      <c r="C119" s="126" t="s">
        <v>85</v>
      </c>
      <c r="D119" s="19"/>
      <c r="E119" s="19"/>
      <c r="F119" s="19">
        <f>-F91</f>
        <v>-880</v>
      </c>
      <c r="G119" s="19">
        <f t="shared" ref="G119:Y119" si="37">-G91</f>
        <v>-5938.5865253300071</v>
      </c>
      <c r="H119" s="19">
        <f t="shared" si="37"/>
        <v>-10883.933861182722</v>
      </c>
      <c r="I119" s="19">
        <f t="shared" si="37"/>
        <v>-14933.59902254201</v>
      </c>
      <c r="J119" s="19">
        <f t="shared" si="37"/>
        <v>-18901.8706812868</v>
      </c>
      <c r="K119" s="29">
        <f t="shared" si="37"/>
        <v>-22309.927611884734</v>
      </c>
      <c r="L119" s="29">
        <f t="shared" si="37"/>
        <v>-24680.57933770321</v>
      </c>
      <c r="M119" s="29">
        <f t="shared" si="37"/>
        <v>-27021.066755033058</v>
      </c>
      <c r="N119" s="29">
        <f t="shared" si="37"/>
        <v>-28724.255042684526</v>
      </c>
      <c r="O119" s="29">
        <f t="shared" si="37"/>
        <v>-29833.416984160634</v>
      </c>
      <c r="P119" s="29">
        <f t="shared" si="37"/>
        <v>-30388.675766140517</v>
      </c>
      <c r="Q119" s="29">
        <f t="shared" si="37"/>
        <v>-30427.178650751888</v>
      </c>
      <c r="R119" s="29">
        <f t="shared" si="37"/>
        <v>-29486.042234830165</v>
      </c>
      <c r="S119" s="29">
        <f t="shared" si="37"/>
        <v>-28100.00304940085</v>
      </c>
      <c r="T119" s="29">
        <f t="shared" si="37"/>
        <v>-26297.282312978663</v>
      </c>
      <c r="U119" s="29">
        <f t="shared" si="37"/>
        <v>-23679.315487693249</v>
      </c>
      <c r="V119" s="29">
        <f t="shared" si="37"/>
        <v>-20699.481729385265</v>
      </c>
      <c r="W119" s="29">
        <f t="shared" si="37"/>
        <v>-17378.457948148447</v>
      </c>
      <c r="X119" s="29">
        <f t="shared" si="37"/>
        <v>-13373.105934805046</v>
      </c>
      <c r="Y119" s="32">
        <f t="shared" si="37"/>
        <v>-8723.929228982488</v>
      </c>
      <c r="Z119" s="19"/>
      <c r="AB119" s="6">
        <f t="shared" si="32"/>
        <v>-270239.26887987577</v>
      </c>
    </row>
    <row r="120" spans="2:30" x14ac:dyDescent="0.3">
      <c r="C120" s="132" t="s">
        <v>86</v>
      </c>
      <c r="D120" s="19"/>
      <c r="E120" s="19"/>
      <c r="F120" s="39">
        <f>SUM(F118:F119)</f>
        <v>110</v>
      </c>
      <c r="G120" s="39">
        <f t="shared" ref="G120:Y120" si="38">SUM(G118:G119)</f>
        <v>742.32331566625453</v>
      </c>
      <c r="H120" s="39">
        <f t="shared" si="38"/>
        <v>1360.4917326478353</v>
      </c>
      <c r="I120" s="39">
        <f t="shared" si="38"/>
        <v>1866.6998778177476</v>
      </c>
      <c r="J120" s="39">
        <f t="shared" si="38"/>
        <v>2362.7338351608523</v>
      </c>
      <c r="K120" s="46">
        <f t="shared" si="38"/>
        <v>2788.7409514855899</v>
      </c>
      <c r="L120" s="46">
        <f t="shared" si="38"/>
        <v>3085.0724172129012</v>
      </c>
      <c r="M120" s="46">
        <f t="shared" si="38"/>
        <v>3377.6333443791264</v>
      </c>
      <c r="N120" s="46">
        <f t="shared" si="38"/>
        <v>3590.5318803355622</v>
      </c>
      <c r="O120" s="46">
        <f t="shared" si="38"/>
        <v>3729.1771230200757</v>
      </c>
      <c r="P120" s="46">
        <f t="shared" si="38"/>
        <v>3798.5844707675606</v>
      </c>
      <c r="Q120" s="46">
        <f t="shared" si="38"/>
        <v>3803.3973313439892</v>
      </c>
      <c r="R120" s="46">
        <f t="shared" si="38"/>
        <v>3685.7552793537689</v>
      </c>
      <c r="S120" s="46">
        <f t="shared" si="38"/>
        <v>3512.5003811751048</v>
      </c>
      <c r="T120" s="46">
        <f t="shared" si="38"/>
        <v>3287.1602891223338</v>
      </c>
      <c r="U120" s="46">
        <f t="shared" si="38"/>
        <v>2959.9144359616548</v>
      </c>
      <c r="V120" s="46">
        <f t="shared" si="38"/>
        <v>2587.4352161731586</v>
      </c>
      <c r="W120" s="46">
        <f t="shared" si="38"/>
        <v>2172.3072435185532</v>
      </c>
      <c r="X120" s="46">
        <f t="shared" si="38"/>
        <v>1671.6382418506291</v>
      </c>
      <c r="Y120" s="48">
        <f t="shared" si="38"/>
        <v>1090.4911536228101</v>
      </c>
      <c r="Z120" s="19"/>
      <c r="AB120" s="39">
        <f>SUM(AB118:AB119)</f>
        <v>33779.908609984559</v>
      </c>
      <c r="AC120" s="7"/>
      <c r="AD120" s="7"/>
    </row>
    <row r="121" spans="2:30" x14ac:dyDescent="0.3">
      <c r="C121" s="125"/>
      <c r="D121" s="19"/>
      <c r="E121" s="19"/>
      <c r="F121" s="19"/>
      <c r="G121" s="19"/>
      <c r="H121" s="19"/>
      <c r="I121" s="19"/>
      <c r="J121" s="19"/>
      <c r="K121" s="19"/>
      <c r="L121" s="19"/>
      <c r="M121" s="19"/>
      <c r="N121" s="19"/>
      <c r="O121" s="19"/>
      <c r="P121" s="19"/>
      <c r="Q121" s="19"/>
      <c r="R121" s="19"/>
      <c r="S121" s="19"/>
      <c r="T121" s="19"/>
      <c r="U121" s="19"/>
      <c r="V121" s="19"/>
      <c r="W121" s="19"/>
      <c r="X121" s="19"/>
      <c r="Y121" s="22"/>
      <c r="Z121" s="19"/>
      <c r="AB121" s="6"/>
      <c r="AC121" s="7" t="s">
        <v>3</v>
      </c>
      <c r="AD121" s="7" t="s">
        <v>4</v>
      </c>
    </row>
    <row r="122" spans="2:30" x14ac:dyDescent="0.3">
      <c r="C122" s="133" t="s">
        <v>20</v>
      </c>
      <c r="D122" s="23"/>
      <c r="E122" s="23"/>
      <c r="F122" s="45">
        <f t="shared" ref="F122:Y122" si="39">F109+F114+F116+F120</f>
        <v>-25817.463133250218</v>
      </c>
      <c r="G122" s="45">
        <f>G109+G114+G116+G120</f>
        <v>34657.703564678515</v>
      </c>
      <c r="H122" s="47">
        <f t="shared" si="39"/>
        <v>27893.344585288334</v>
      </c>
      <c r="I122" s="47">
        <f t="shared" si="39"/>
        <v>28581.082781895198</v>
      </c>
      <c r="J122" s="47">
        <f t="shared" si="39"/>
        <v>25162.660921047256</v>
      </c>
      <c r="K122" s="47">
        <f t="shared" si="39"/>
        <v>34964.129380898958</v>
      </c>
      <c r="L122" s="47">
        <f t="shared" si="39"/>
        <v>34880.240358736854</v>
      </c>
      <c r="M122" s="47">
        <f t="shared" si="39"/>
        <v>36187.031723028485</v>
      </c>
      <c r="N122" s="47">
        <f t="shared" si="39"/>
        <v>37272.941105885613</v>
      </c>
      <c r="O122" s="47">
        <f t="shared" si="39"/>
        <v>38153.897287595828</v>
      </c>
      <c r="P122" s="47">
        <f t="shared" si="39"/>
        <v>38844.781290833183</v>
      </c>
      <c r="Q122" s="47">
        <f t="shared" si="39"/>
        <v>40488.01655052806</v>
      </c>
      <c r="R122" s="47">
        <f t="shared" si="39"/>
        <v>40715.659379129378</v>
      </c>
      <c r="S122" s="47">
        <f t="shared" si="39"/>
        <v>40795.679673168794</v>
      </c>
      <c r="T122" s="47">
        <f t="shared" si="39"/>
        <v>41702.39605255003</v>
      </c>
      <c r="U122" s="47">
        <f t="shared" si="39"/>
        <v>41412.619822635963</v>
      </c>
      <c r="V122" s="47">
        <f t="shared" si="39"/>
        <v>41009.110002392401</v>
      </c>
      <c r="W122" s="47">
        <f t="shared" si="39"/>
        <v>41321.689938047857</v>
      </c>
      <c r="X122" s="47">
        <f t="shared" si="39"/>
        <v>41402.249749331415</v>
      </c>
      <c r="Y122" s="49">
        <f t="shared" si="39"/>
        <v>39791.908089814387</v>
      </c>
      <c r="Z122" s="19"/>
      <c r="AB122" s="3">
        <f>AB109+AB114+AB116+AB120</f>
        <v>430425.6476294364</v>
      </c>
      <c r="AC122" s="2">
        <f>NPV(0.04,F118:Y118)+NPV(0.04,F119:Y119)</f>
        <v>33779.908609984559</v>
      </c>
      <c r="AD122" s="3">
        <f>AB122-AC122</f>
        <v>396645.73901945184</v>
      </c>
    </row>
    <row r="124" spans="2:30" x14ac:dyDescent="0.3">
      <c r="C124" s="50" t="s">
        <v>90</v>
      </c>
      <c r="F124" s="2">
        <f>Base!F125</f>
        <v>-25817.46313325021</v>
      </c>
      <c r="G124" s="2">
        <f>Base!G125</f>
        <v>34657.703564678479</v>
      </c>
      <c r="H124" s="2">
        <f>Base!H125</f>
        <v>36910.746185288328</v>
      </c>
      <c r="I124" s="2">
        <f>Base!I125</f>
        <v>37143.105601095187</v>
      </c>
      <c r="J124" s="2">
        <f>Base!J125</f>
        <v>38985.999905485543</v>
      </c>
      <c r="K124" s="2">
        <f>Base!K125</f>
        <v>40557.481959357297</v>
      </c>
      <c r="L124" s="2">
        <f>Base!L125</f>
        <v>40411.381957847341</v>
      </c>
      <c r="M124" s="2">
        <f>Base!M125</f>
        <v>41655.648019825072</v>
      </c>
      <c r="N124" s="2">
        <f>Base!N125</f>
        <v>42678.181946982731</v>
      </c>
      <c r="O124" s="2">
        <f>Base!O125</f>
        <v>43494.964822291251</v>
      </c>
      <c r="P124" s="2">
        <f>Base!P125</f>
        <v>44120.927110137804</v>
      </c>
      <c r="Q124" s="2">
        <f>Base!Q125</f>
        <v>45698.538910574098</v>
      </c>
      <c r="R124" s="2">
        <f>Base!R125</f>
        <v>45859.359658434318</v>
      </c>
      <c r="S124" s="2">
        <f>Base!S125</f>
        <v>45871.955769611115</v>
      </c>
      <c r="T124" s="2">
        <f>Base!T125</f>
        <v>46710.684752027963</v>
      </c>
      <c r="U124" s="2">
        <f>Base!U125</f>
        <v>46351.874995368751</v>
      </c>
      <c r="V124" s="2">
        <f>Base!V125</f>
        <v>45878.853268806903</v>
      </c>
      <c r="W124" s="2">
        <f>Base!W125</f>
        <v>46121.474552089785</v>
      </c>
      <c r="X124" s="2">
        <f>Base!X125</f>
        <v>46131.160276174189</v>
      </c>
      <c r="Y124" s="2">
        <f>Base!Y125</f>
        <v>44449.077750659875</v>
      </c>
      <c r="Z124" s="19"/>
    </row>
    <row r="125" spans="2:30" x14ac:dyDescent="0.3">
      <c r="B125" s="4"/>
      <c r="C125" s="2" t="s">
        <v>91</v>
      </c>
      <c r="F125" s="2">
        <f>F122-F124</f>
        <v>0</v>
      </c>
      <c r="G125" s="2">
        <f t="shared" ref="G125:Y125" si="40">G122-G124</f>
        <v>0</v>
      </c>
      <c r="H125" s="2">
        <f t="shared" si="40"/>
        <v>-9017.4015999999938</v>
      </c>
      <c r="I125" s="2">
        <f t="shared" si="40"/>
        <v>-8562.0228191999886</v>
      </c>
      <c r="J125" s="2">
        <f t="shared" si="40"/>
        <v>-13823.338984438287</v>
      </c>
      <c r="K125" s="2">
        <f t="shared" si="40"/>
        <v>-5593.3525784583398</v>
      </c>
      <c r="L125" s="2">
        <f t="shared" si="40"/>
        <v>-5531.1415991104877</v>
      </c>
      <c r="M125" s="2">
        <f t="shared" si="40"/>
        <v>-5468.6162967965865</v>
      </c>
      <c r="N125" s="2">
        <f t="shared" si="40"/>
        <v>-5405.2408410971184</v>
      </c>
      <c r="O125" s="2">
        <f t="shared" si="40"/>
        <v>-5341.0675346954231</v>
      </c>
      <c r="P125" s="2">
        <f t="shared" si="40"/>
        <v>-5276.1458193046201</v>
      </c>
      <c r="Q125" s="2">
        <f t="shared" si="40"/>
        <v>-5210.5223600460376</v>
      </c>
      <c r="R125" s="2">
        <f t="shared" si="40"/>
        <v>-5143.7002793049396</v>
      </c>
      <c r="S125" s="2">
        <f t="shared" si="40"/>
        <v>-5076.2760964423214</v>
      </c>
      <c r="T125" s="2">
        <f t="shared" si="40"/>
        <v>-5008.2886994779328</v>
      </c>
      <c r="U125" s="2">
        <f t="shared" si="40"/>
        <v>-4939.2551727327882</v>
      </c>
      <c r="V125" s="2">
        <f t="shared" si="40"/>
        <v>-4869.7432664145017</v>
      </c>
      <c r="W125" s="2">
        <f t="shared" si="40"/>
        <v>-4799.7846140419279</v>
      </c>
      <c r="X125" s="2">
        <f t="shared" si="40"/>
        <v>-4728.9105268427738</v>
      </c>
      <c r="Y125" s="2">
        <f t="shared" si="40"/>
        <v>-4657.1696608454877</v>
      </c>
    </row>
    <row r="126" spans="2:30" x14ac:dyDescent="0.3">
      <c r="B126" s="4"/>
    </row>
    <row r="135" spans="2:25" x14ac:dyDescent="0.3">
      <c r="B135" s="5"/>
      <c r="C135" s="6"/>
    </row>
    <row r="136" spans="2:25" x14ac:dyDescent="0.3">
      <c r="B136" s="10"/>
      <c r="C136" s="6"/>
    </row>
    <row r="137" spans="2:25" x14ac:dyDescent="0.3">
      <c r="C137" s="6"/>
    </row>
    <row r="138" spans="2:25" x14ac:dyDescent="0.3">
      <c r="C138" s="6"/>
    </row>
    <row r="139" spans="2:25" x14ac:dyDescent="0.3">
      <c r="C139" s="6"/>
    </row>
    <row r="140" spans="2:25" x14ac:dyDescent="0.3">
      <c r="C140" s="6"/>
    </row>
    <row r="141" spans="2:25" x14ac:dyDescent="0.3">
      <c r="C141" s="6"/>
      <c r="F141" s="11"/>
    </row>
    <row r="142" spans="2:25" x14ac:dyDescent="0.3">
      <c r="C142" s="7"/>
      <c r="F142" s="12"/>
    </row>
    <row r="143" spans="2:25" x14ac:dyDescent="0.3">
      <c r="F143" s="8"/>
      <c r="G143" s="8"/>
      <c r="H143" s="8"/>
      <c r="I143" s="8"/>
      <c r="J143" s="8"/>
      <c r="K143" s="8"/>
      <c r="L143" s="8"/>
      <c r="M143" s="8"/>
      <c r="N143" s="8"/>
      <c r="O143" s="8"/>
      <c r="P143" s="8"/>
      <c r="Q143" s="8"/>
      <c r="R143" s="8"/>
      <c r="S143" s="8"/>
      <c r="T143" s="8"/>
      <c r="U143" s="8"/>
      <c r="V143" s="8"/>
      <c r="W143" s="8"/>
      <c r="X143" s="8"/>
      <c r="Y143" s="8"/>
    </row>
    <row r="153" spans="2:25" x14ac:dyDescent="0.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x14ac:dyDescent="0.3">
      <c r="C154" s="9"/>
    </row>
    <row r="160" spans="2:25" x14ac:dyDescent="0.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3:3" x14ac:dyDescent="0.3">
      <c r="C161" s="9"/>
    </row>
    <row r="162" spans="3:3" x14ac:dyDescent="0.3">
      <c r="C162" s="9"/>
    </row>
    <row r="163" spans="3:3" x14ac:dyDescent="0.3">
      <c r="C163" s="9"/>
    </row>
    <row r="164" spans="3:3" x14ac:dyDescent="0.3">
      <c r="C164" s="9"/>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D164"/>
  <sheetViews>
    <sheetView zoomScaleNormal="100" workbookViewId="0">
      <pane xSplit="5" ySplit="5" topLeftCell="F6" activePane="bottomRight" state="frozen"/>
      <selection pane="topRight" activeCell="F1" sqref="F1"/>
      <selection pane="bottomLeft" activeCell="A6" sqref="A6"/>
      <selection pane="bottomRight" activeCell="O125" sqref="O125:Y125"/>
    </sheetView>
  </sheetViews>
  <sheetFormatPr defaultColWidth="9.109375" defaultRowHeight="14.4" x14ac:dyDescent="0.3"/>
  <cols>
    <col min="1" max="1" width="4.109375" style="2" customWidth="1"/>
    <col min="2" max="2" width="5.5546875" style="2" customWidth="1"/>
    <col min="3" max="3" width="46.6640625" style="2" bestFit="1" customWidth="1"/>
    <col min="4" max="4" width="1.33203125" style="2" customWidth="1"/>
    <col min="5" max="6" width="10.109375" style="2" customWidth="1"/>
    <col min="7" max="27" width="9.109375" style="2"/>
    <col min="28" max="28" width="12.109375" style="2" customWidth="1"/>
    <col min="29" max="16384" width="9.109375" style="2"/>
  </cols>
  <sheetData>
    <row r="2" spans="2:28" ht="15.6" x14ac:dyDescent="0.3">
      <c r="B2" s="13"/>
    </row>
    <row r="3" spans="2:28" x14ac:dyDescent="0.3">
      <c r="B3" s="4" t="s">
        <v>92</v>
      </c>
    </row>
    <row r="5" spans="2:28" x14ac:dyDescent="0.3">
      <c r="E5" s="2">
        <v>0</v>
      </c>
      <c r="F5" s="1">
        <v>1</v>
      </c>
      <c r="G5" s="1">
        <f>F5+1</f>
        <v>2</v>
      </c>
      <c r="H5" s="1">
        <f t="shared" ref="H5:Y5" si="0">G5+1</f>
        <v>3</v>
      </c>
      <c r="I5" s="1">
        <f t="shared" si="0"/>
        <v>4</v>
      </c>
      <c r="J5" s="1">
        <f t="shared" si="0"/>
        <v>5</v>
      </c>
      <c r="K5" s="1">
        <f t="shared" si="0"/>
        <v>6</v>
      </c>
      <c r="L5" s="1">
        <f t="shared" si="0"/>
        <v>7</v>
      </c>
      <c r="M5" s="1">
        <f t="shared" si="0"/>
        <v>8</v>
      </c>
      <c r="N5" s="1">
        <f t="shared" si="0"/>
        <v>9</v>
      </c>
      <c r="O5" s="1">
        <f t="shared" si="0"/>
        <v>10</v>
      </c>
      <c r="P5" s="1">
        <f t="shared" si="0"/>
        <v>11</v>
      </c>
      <c r="Q5" s="1">
        <f t="shared" si="0"/>
        <v>12</v>
      </c>
      <c r="R5" s="1">
        <f t="shared" si="0"/>
        <v>13</v>
      </c>
      <c r="S5" s="1">
        <f t="shared" si="0"/>
        <v>14</v>
      </c>
      <c r="T5" s="1">
        <f t="shared" si="0"/>
        <v>15</v>
      </c>
      <c r="U5" s="1">
        <f t="shared" si="0"/>
        <v>16</v>
      </c>
      <c r="V5" s="1">
        <f t="shared" si="0"/>
        <v>17</v>
      </c>
      <c r="W5" s="1">
        <f t="shared" si="0"/>
        <v>18</v>
      </c>
      <c r="X5" s="1">
        <f t="shared" si="0"/>
        <v>19</v>
      </c>
      <c r="Y5" s="1">
        <f t="shared" si="0"/>
        <v>20</v>
      </c>
    </row>
    <row r="6" spans="2:28" x14ac:dyDescent="0.3">
      <c r="F6" s="1"/>
      <c r="G6" s="1"/>
      <c r="H6" s="1"/>
      <c r="I6" s="1"/>
      <c r="J6" s="1"/>
      <c r="K6" s="1"/>
      <c r="L6" s="1"/>
      <c r="M6" s="1"/>
      <c r="N6" s="1"/>
      <c r="O6" s="1"/>
      <c r="P6" s="1"/>
      <c r="Q6" s="1"/>
      <c r="R6" s="1"/>
      <c r="S6" s="1"/>
      <c r="T6" s="1"/>
      <c r="U6" s="1"/>
      <c r="V6" s="1"/>
      <c r="W6" s="1"/>
      <c r="X6" s="1"/>
      <c r="Y6" s="1"/>
    </row>
    <row r="7" spans="2:28" ht="28.2" x14ac:dyDescent="0.3">
      <c r="C7" s="65" t="s">
        <v>10</v>
      </c>
      <c r="F7" s="1"/>
      <c r="G7" s="1"/>
      <c r="H7" s="1"/>
      <c r="I7" s="1"/>
      <c r="J7" s="1"/>
      <c r="K7" s="1"/>
      <c r="L7" s="1"/>
      <c r="M7" s="1"/>
      <c r="N7" s="1"/>
      <c r="O7" s="1"/>
      <c r="P7" s="1"/>
      <c r="Q7" s="1"/>
      <c r="R7" s="1"/>
      <c r="S7" s="1"/>
      <c r="T7" s="1"/>
      <c r="U7" s="1"/>
      <c r="V7" s="1"/>
      <c r="W7" s="1"/>
      <c r="X7" s="1"/>
      <c r="Y7" s="1"/>
    </row>
    <row r="8" spans="2:28" x14ac:dyDescent="0.3">
      <c r="B8" s="2" t="s">
        <v>0</v>
      </c>
      <c r="C8" s="102" t="s">
        <v>53</v>
      </c>
      <c r="D8" s="17"/>
      <c r="E8" s="17"/>
      <c r="F8" s="17">
        <f>Base!F36*(Assumptions!D8*Assumptions!$D$6/1000+Assumptions!D9)</f>
        <v>310000</v>
      </c>
      <c r="G8" s="17">
        <f>Base!G36*(Assumptions!E8*Assumptions!$D$6/1000+Assumptions!E9)</f>
        <v>294376</v>
      </c>
      <c r="H8" s="17">
        <f>Base!H36*(Assumptions!F8*Assumptions!$D$6/1000+Assumptions!F9)</f>
        <v>279539.44959999999</v>
      </c>
      <c r="I8" s="17">
        <f>Base!I36*(Assumptions!G8*Assumptions!$D$6/1000+Assumptions!G9)</f>
        <v>265422.70739520004</v>
      </c>
      <c r="J8" s="17">
        <f>Base!J36*(Assumptions!H8*Assumptions!$D$6/1000+Assumptions!H9)</f>
        <v>252018.86067174241</v>
      </c>
      <c r="K8" s="17">
        <f>Base!K36*(Assumptions!I8*Assumptions!$D$6/1000+Assumptions!I9)</f>
        <v>239266.70632175228</v>
      </c>
      <c r="L8" s="17">
        <f>Base!L36*(Assumptions!J8*Assumptions!$D$6/1000+Assumptions!J9)</f>
        <v>227135.88431123944</v>
      </c>
      <c r="M8" s="17">
        <f>Base!M36*(Assumptions!K8*Assumptions!$D$6/1000+Assumptions!K9)</f>
        <v>215620.0949766596</v>
      </c>
      <c r="N8" s="17">
        <f>Base!N36*(Assumptions!L8*Assumptions!$D$6/1000+Assumptions!L9)</f>
        <v>204666.59415184529</v>
      </c>
      <c r="O8" s="17">
        <f>Base!O36*(Assumptions!M8*Assumptions!$D$6/1000+Assumptions!M9)</f>
        <v>194249.06450951635</v>
      </c>
      <c r="P8" s="17">
        <f>Base!P36*(Assumptions!N8*Assumptions!$D$6/1000+Assumptions!N9)</f>
        <v>184342.362219531</v>
      </c>
      <c r="Q8" s="17">
        <f>Base!Q36*(Assumptions!O8*Assumptions!$D$6/1000+Assumptions!O9)</f>
        <v>174922.467510113</v>
      </c>
      <c r="R8" s="17">
        <f>Base!R36*(Assumptions!P8*Assumptions!$D$6/1000+Assumptions!P9)</f>
        <v>165948.94492684421</v>
      </c>
      <c r="S8" s="17">
        <f>Base!S36*(Assumptions!Q8*Assumptions!$D$6/1000+Assumptions!Q9)</f>
        <v>157419.16915760442</v>
      </c>
      <c r="T8" s="17">
        <f>Base!T36*(Assumptions!R8*Assumptions!$D$6/1000+Assumptions!R9)</f>
        <v>149312.0819459878</v>
      </c>
      <c r="U8" s="17">
        <f>Base!U36*(Assumptions!S8*Assumptions!$D$6/1000+Assumptions!S9)</f>
        <v>141592.64730938023</v>
      </c>
      <c r="V8" s="17">
        <f>Base!V36*(Assumptions!T8*Assumptions!$D$6/1000+Assumptions!T9)</f>
        <v>134258.14817875435</v>
      </c>
      <c r="W8" s="17">
        <f>Base!W36*(Assumptions!U8*Assumptions!$D$6/1000+Assumptions!U9)</f>
        <v>127290.150288277</v>
      </c>
      <c r="X8" s="17">
        <f>Base!X36*(Assumptions!V8*Assumptions!$D$6/1000+Assumptions!V9)</f>
        <v>120658.33345825778</v>
      </c>
      <c r="Y8" s="18">
        <f>Base!Y36*(Assumptions!W8*Assumptions!$D$6/1000+Assumptions!W9)</f>
        <v>114347.90261839089</v>
      </c>
      <c r="Z8" s="19"/>
    </row>
    <row r="9" spans="2:28" x14ac:dyDescent="0.3">
      <c r="B9" s="2" t="s">
        <v>0</v>
      </c>
      <c r="C9" s="103" t="s">
        <v>13</v>
      </c>
      <c r="D9" s="19"/>
      <c r="E9" s="19"/>
      <c r="F9" s="19">
        <f>-F8*Assumptions!D10</f>
        <v>-248000</v>
      </c>
      <c r="G9" s="19">
        <v>0</v>
      </c>
      <c r="H9" s="19">
        <v>0</v>
      </c>
      <c r="I9" s="19">
        <v>0</v>
      </c>
      <c r="J9" s="19">
        <v>0</v>
      </c>
      <c r="K9" s="19">
        <v>0</v>
      </c>
      <c r="L9" s="19">
        <v>0</v>
      </c>
      <c r="M9" s="19">
        <v>0</v>
      </c>
      <c r="N9" s="19">
        <v>0</v>
      </c>
      <c r="O9" s="19">
        <v>0</v>
      </c>
      <c r="P9" s="19">
        <v>0</v>
      </c>
      <c r="Q9" s="19">
        <v>0</v>
      </c>
      <c r="R9" s="19">
        <v>0</v>
      </c>
      <c r="S9" s="19">
        <v>0</v>
      </c>
      <c r="T9" s="19">
        <v>0</v>
      </c>
      <c r="U9" s="19">
        <v>0</v>
      </c>
      <c r="V9" s="19">
        <v>0</v>
      </c>
      <c r="W9" s="19">
        <v>0</v>
      </c>
      <c r="X9" s="19">
        <v>0</v>
      </c>
      <c r="Y9" s="22">
        <v>0</v>
      </c>
      <c r="Z9" s="19"/>
    </row>
    <row r="10" spans="2:28" x14ac:dyDescent="0.3">
      <c r="B10" s="2" t="s">
        <v>0</v>
      </c>
      <c r="C10" s="104" t="s">
        <v>54</v>
      </c>
      <c r="D10" s="19"/>
      <c r="E10" s="19"/>
      <c r="F10" s="19">
        <v>0</v>
      </c>
      <c r="G10" s="19">
        <f>-G8*Assumptions!E10</f>
        <v>-14718.800000000001</v>
      </c>
      <c r="H10" s="19">
        <f>-H8*Assumptions!F10</f>
        <v>-13976.97248</v>
      </c>
      <c r="I10" s="19">
        <f>-I8*Assumptions!G10</f>
        <v>-13271.135369760003</v>
      </c>
      <c r="J10" s="19">
        <f>-J8*Assumptions!H10</f>
        <v>-12600.943033587122</v>
      </c>
      <c r="K10" s="19">
        <f>-K8*Assumptions!I10</f>
        <v>-11963.335316087614</v>
      </c>
      <c r="L10" s="19">
        <f>-L8*Assumptions!J10</f>
        <v>-11356.794215561973</v>
      </c>
      <c r="M10" s="19">
        <f>-M8*Assumptions!K10</f>
        <v>-10781.00474883298</v>
      </c>
      <c r="N10" s="19">
        <f>-N8*Assumptions!L10</f>
        <v>-10233.329707592266</v>
      </c>
      <c r="O10" s="19">
        <f>-O8*Assumptions!M10</f>
        <v>-9712.4532254758178</v>
      </c>
      <c r="P10" s="19">
        <f>-P8*Assumptions!N10</f>
        <v>-9217.1181109765512</v>
      </c>
      <c r="Q10" s="19">
        <f>-Q8*Assumptions!O10</f>
        <v>-8746.123375505651</v>
      </c>
      <c r="R10" s="19">
        <f>-R8*Assumptions!P10</f>
        <v>-8297.4472463422117</v>
      </c>
      <c r="S10" s="19">
        <f>-S8*Assumptions!Q10</f>
        <v>-7870.9584578802214</v>
      </c>
      <c r="T10" s="19">
        <f>-T8*Assumptions!R10</f>
        <v>-7465.6040972993906</v>
      </c>
      <c r="U10" s="19">
        <f>-U8*Assumptions!S10</f>
        <v>-7079.6323654690123</v>
      </c>
      <c r="V10" s="19">
        <f>-V8*Assumptions!T10</f>
        <v>-6712.9074089377173</v>
      </c>
      <c r="W10" s="19">
        <f>-W8*Assumptions!U10</f>
        <v>-6364.50751441385</v>
      </c>
      <c r="X10" s="19">
        <f>-X8*Assumptions!V10</f>
        <v>-6032.9166729128892</v>
      </c>
      <c r="Y10" s="22">
        <f>-Y8*Assumptions!W10</f>
        <v>-5717.3951309195445</v>
      </c>
      <c r="Z10" s="19"/>
    </row>
    <row r="11" spans="2:28" x14ac:dyDescent="0.3">
      <c r="B11" s="2" t="s">
        <v>0</v>
      </c>
      <c r="C11" s="104" t="s">
        <v>45</v>
      </c>
      <c r="D11" s="19"/>
      <c r="E11" s="19"/>
      <c r="F11" s="19">
        <f>-Base!F36*Assumptions!D11</f>
        <v>-40000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22">
        <v>0</v>
      </c>
      <c r="Z11" s="19"/>
    </row>
    <row r="12" spans="2:28" x14ac:dyDescent="0.3">
      <c r="B12" s="2" t="s">
        <v>1</v>
      </c>
      <c r="C12" s="104" t="s">
        <v>47</v>
      </c>
      <c r="D12" s="19"/>
      <c r="E12" s="19"/>
      <c r="F12" s="19">
        <f>-Base!F36*Assumptions!D13</f>
        <v>-25000</v>
      </c>
      <c r="G12" s="19">
        <f>-Base!G36*Assumptions!E13</f>
        <v>-23740</v>
      </c>
      <c r="H12" s="19">
        <f>-Base!H36*Assumptions!F13</f>
        <v>-22543.504000000001</v>
      </c>
      <c r="I12" s="19">
        <f>-Base!I36*Assumptions!G13</f>
        <v>-21405.057048000002</v>
      </c>
      <c r="J12" s="19">
        <f>-Base!J36*Assumptions!H13</f>
        <v>-20324.101667076</v>
      </c>
      <c r="K12" s="19">
        <f>-Base!K36*Assumptions!I13</f>
        <v>-19295.702122721956</v>
      </c>
      <c r="L12" s="19">
        <f>-Base!L36*Assumptions!J13</f>
        <v>-18317.410025099955</v>
      </c>
      <c r="M12" s="19">
        <f>-Base!M36*Assumptions!K13</f>
        <v>-17388.717336827387</v>
      </c>
      <c r="N12" s="19">
        <f>-Base!N36*Assumptions!L13</f>
        <v>-16505.370496116557</v>
      </c>
      <c r="O12" s="19">
        <f>-Base!O36*Assumptions!M13</f>
        <v>-15665.247137864222</v>
      </c>
      <c r="P12" s="19">
        <f>-Base!P36*Assumptions!N13</f>
        <v>-14866.319533833146</v>
      </c>
      <c r="Q12" s="19">
        <f>-Base!Q36*Assumptions!O13</f>
        <v>-14106.650605654275</v>
      </c>
      <c r="R12" s="19">
        <f>-Base!R36*Assumptions!P13</f>
        <v>-13382.979429584211</v>
      </c>
      <c r="S12" s="19">
        <f>-Base!S36*Assumptions!Q13</f>
        <v>-12695.094286903583</v>
      </c>
      <c r="T12" s="19">
        <f>-Base!T36*Assumptions!R13</f>
        <v>-12041.296931128049</v>
      </c>
      <c r="U12" s="19">
        <f>-Base!U36*Assumptions!S13</f>
        <v>-11418.761879788728</v>
      </c>
      <c r="V12" s="19">
        <f>-Base!V36*Assumptions!T13</f>
        <v>-10827.270014415673</v>
      </c>
      <c r="W12" s="19">
        <f>-Base!W36*Assumptions!U13</f>
        <v>-10265.334700667501</v>
      </c>
      <c r="X12" s="19">
        <f>-Base!X36*Assumptions!V13</f>
        <v>-9730.510762762724</v>
      </c>
      <c r="Y12" s="22">
        <f>-Base!Y36*Assumptions!W13</f>
        <v>-9221.6050498702334</v>
      </c>
      <c r="Z12" s="19"/>
    </row>
    <row r="13" spans="2:28" x14ac:dyDescent="0.3">
      <c r="B13" s="2" t="s">
        <v>0</v>
      </c>
      <c r="C13" s="104" t="s">
        <v>46</v>
      </c>
      <c r="D13" s="19"/>
      <c r="E13" s="19"/>
      <c r="F13" s="19">
        <f>-Base!F36*Assumptions!D12</f>
        <v>-60000</v>
      </c>
      <c r="G13" s="19">
        <v>0</v>
      </c>
      <c r="H13" s="19">
        <v>0</v>
      </c>
      <c r="I13" s="19">
        <v>0</v>
      </c>
      <c r="J13" s="19">
        <v>0</v>
      </c>
      <c r="K13" s="19">
        <v>0</v>
      </c>
      <c r="L13" s="19">
        <v>0</v>
      </c>
      <c r="M13" s="19">
        <v>0</v>
      </c>
      <c r="N13" s="19">
        <v>0</v>
      </c>
      <c r="O13" s="19">
        <v>0</v>
      </c>
      <c r="P13" s="19">
        <v>0</v>
      </c>
      <c r="Q13" s="19">
        <v>0</v>
      </c>
      <c r="R13" s="19">
        <v>0</v>
      </c>
      <c r="S13" s="19">
        <v>0</v>
      </c>
      <c r="T13" s="19">
        <v>0</v>
      </c>
      <c r="U13" s="19">
        <v>0</v>
      </c>
      <c r="V13" s="19">
        <v>0</v>
      </c>
      <c r="W13" s="19">
        <v>0</v>
      </c>
      <c r="X13" s="19">
        <v>0</v>
      </c>
      <c r="Y13" s="22">
        <v>0</v>
      </c>
      <c r="Z13" s="19"/>
    </row>
    <row r="14" spans="2:28" x14ac:dyDescent="0.3">
      <c r="B14" s="2" t="s">
        <v>1</v>
      </c>
      <c r="C14" s="104" t="s">
        <v>48</v>
      </c>
      <c r="D14" s="19"/>
      <c r="E14" s="19"/>
      <c r="F14" s="19">
        <f>-Base!F36*Assumptions!D14</f>
        <v>-15000</v>
      </c>
      <c r="G14" s="19">
        <f>-Base!G36*Assumptions!E14</f>
        <v>-14244</v>
      </c>
      <c r="H14" s="19">
        <f>-Base!H36*Assumptions!F14</f>
        <v>-13526.102400000002</v>
      </c>
      <c r="I14" s="19">
        <f>-Base!I36*Assumptions!G14</f>
        <v>-12843.034228800003</v>
      </c>
      <c r="J14" s="19">
        <f>-Base!J36*Assumptions!H14</f>
        <v>-12194.461000245601</v>
      </c>
      <c r="K14" s="19">
        <f>-Base!K36*Assumptions!I14</f>
        <v>-11577.421273633174</v>
      </c>
      <c r="L14" s="19">
        <f>-Base!L36*Assumptions!J14</f>
        <v>-10990.446015059973</v>
      </c>
      <c r="M14" s="19">
        <f>-Base!M36*Assumptions!K14</f>
        <v>-10433.230402096431</v>
      </c>
      <c r="N14" s="19">
        <f>-Base!N36*Assumptions!L14</f>
        <v>-9903.2222976699322</v>
      </c>
      <c r="O14" s="19">
        <f>-Base!O36*Assumptions!M14</f>
        <v>-9399.1482827185337</v>
      </c>
      <c r="P14" s="19">
        <f>-Base!P36*Assumptions!N14</f>
        <v>-8919.7917202998869</v>
      </c>
      <c r="Q14" s="19">
        <f>-Base!Q36*Assumptions!O14</f>
        <v>-8463.9903633925642</v>
      </c>
      <c r="R14" s="19">
        <f>-Base!R36*Assumptions!P14</f>
        <v>-8029.7876577505267</v>
      </c>
      <c r="S14" s="19">
        <f>-Base!S36*Assumptions!Q14</f>
        <v>-7617.0565721421499</v>
      </c>
      <c r="T14" s="19">
        <f>-Base!T36*Assumptions!R14</f>
        <v>-7224.7781586768288</v>
      </c>
      <c r="U14" s="19">
        <f>-Base!U36*Assumptions!S14</f>
        <v>-6851.2571278732366</v>
      </c>
      <c r="V14" s="19">
        <f>-Base!V36*Assumptions!T14</f>
        <v>-6496.3620086494038</v>
      </c>
      <c r="W14" s="19">
        <f>-Base!W36*Assumptions!U14</f>
        <v>-6159.2008204005006</v>
      </c>
      <c r="X14" s="19">
        <f>-Base!X36*Assumptions!V14</f>
        <v>-5838.3064576576344</v>
      </c>
      <c r="Y14" s="22">
        <f>-Base!Y36*Assumptions!W14</f>
        <v>-5532.9630299221399</v>
      </c>
      <c r="Z14" s="19"/>
    </row>
    <row r="15" spans="2:28" x14ac:dyDescent="0.3">
      <c r="B15" s="2" t="s">
        <v>1</v>
      </c>
      <c r="C15" s="105" t="s">
        <v>9</v>
      </c>
      <c r="D15" s="19"/>
      <c r="E15" s="19"/>
      <c r="F15" s="19">
        <f>-Base!F37*Assumptions!$D$6</f>
        <v>-80000</v>
      </c>
      <c r="G15" s="19">
        <f>-Base!G37*Assumptions!$D$6</f>
        <v>-75968</v>
      </c>
      <c r="H15" s="19">
        <f>-Base!H37*Assumptions!$D$6</f>
        <v>-90174.016000000018</v>
      </c>
      <c r="I15" s="19">
        <f>-Base!I37*Assumptions!$D$6</f>
        <v>-85620.22819200001</v>
      </c>
      <c r="J15" s="19">
        <f>-Base!J37*Assumptions!$D$6</f>
        <v>-97555.688001964809</v>
      </c>
      <c r="K15" s="19">
        <f>-Base!K37*Assumptions!$D$6</f>
        <v>-108055.93188724296</v>
      </c>
      <c r="L15" s="19">
        <f>-Base!L37*Assumptions!$D$6</f>
        <v>-102577.49614055976</v>
      </c>
      <c r="M15" s="19">
        <f>-Base!M37*Assumptions!$D$6</f>
        <v>-111287.79095569528</v>
      </c>
      <c r="N15" s="19">
        <f>-Base!N37*Assumptions!$D$6</f>
        <v>-118838.66757203921</v>
      </c>
      <c r="O15" s="19">
        <f>-Base!O37*Assumptions!$D$6</f>
        <v>-125321.97710291378</v>
      </c>
      <c r="P15" s="19">
        <f>-Base!P37*Assumptions!$D$6</f>
        <v>-130823.61189773168</v>
      </c>
      <c r="Q15" s="19">
        <f>-Base!Q37*Assumptions!$D$6</f>
        <v>-146709.16629880446</v>
      </c>
      <c r="R15" s="19">
        <f>-Base!R37*Assumptions!$D$6</f>
        <v>-149889.36961134319</v>
      </c>
      <c r="S15" s="19">
        <f>-Base!S37*Assumptions!$D$6</f>
        <v>-152341.13144284301</v>
      </c>
      <c r="T15" s="19">
        <f>-Base!T37*Assumptions!$D$6</f>
        <v>-163761.63826334148</v>
      </c>
      <c r="U15" s="19">
        <f>-Base!U37*Assumptions!$D$6</f>
        <v>-164430.17106895769</v>
      </c>
      <c r="V15" s="19">
        <f>-Base!V37*Assumptions!$D$6</f>
        <v>-164574.50421911824</v>
      </c>
      <c r="W15" s="19">
        <f>-Base!W37*Assumptions!$D$6</f>
        <v>-172457.622971214</v>
      </c>
      <c r="X15" s="19">
        <f>-Base!X37*Assumptions!$D$6</f>
        <v>-179041.39803483413</v>
      </c>
      <c r="Y15" s="22">
        <f>-Base!Y37*Assumptions!$D$6</f>
        <v>-169677.53291761229</v>
      </c>
      <c r="Z15" s="19"/>
    </row>
    <row r="16" spans="2:28" x14ac:dyDescent="0.3">
      <c r="C16" s="106" t="s">
        <v>12</v>
      </c>
      <c r="D16" s="23"/>
      <c r="E16" s="23"/>
      <c r="F16" s="23">
        <f t="shared" ref="F16" si="1">SUM(F8:F15)</f>
        <v>-158000</v>
      </c>
      <c r="G16" s="23">
        <f>SUM(G8:G15)</f>
        <v>165705.20000000001</v>
      </c>
      <c r="H16" s="23">
        <f t="shared" ref="H16:Y16" si="2">SUM(H8:H15)</f>
        <v>139318.85471999994</v>
      </c>
      <c r="I16" s="23">
        <f t="shared" si="2"/>
        <v>132283.25255663999</v>
      </c>
      <c r="J16" s="23">
        <f t="shared" si="2"/>
        <v>109343.66696886889</v>
      </c>
      <c r="K16" s="23">
        <f t="shared" si="2"/>
        <v>88374.315722066574</v>
      </c>
      <c r="L16" s="23">
        <f t="shared" si="2"/>
        <v>83893.737914957776</v>
      </c>
      <c r="M16" s="23">
        <f t="shared" si="2"/>
        <v>65729.351533207504</v>
      </c>
      <c r="N16" s="23">
        <f t="shared" si="2"/>
        <v>49186.00407842733</v>
      </c>
      <c r="O16" s="23">
        <f t="shared" si="2"/>
        <v>34150.238760544016</v>
      </c>
      <c r="P16" s="23">
        <f t="shared" si="2"/>
        <v>20515.52095668971</v>
      </c>
      <c r="Q16" s="23">
        <f t="shared" si="2"/>
        <v>-3103.4631332439603</v>
      </c>
      <c r="R16" s="23">
        <f t="shared" si="2"/>
        <v>-13650.63901817592</v>
      </c>
      <c r="S16" s="23">
        <f t="shared" si="2"/>
        <v>-23105.071602164535</v>
      </c>
      <c r="T16" s="23">
        <f t="shared" si="2"/>
        <v>-41181.235504457945</v>
      </c>
      <c r="U16" s="23">
        <f t="shared" si="2"/>
        <v>-48187.17513270842</v>
      </c>
      <c r="V16" s="23">
        <f t="shared" si="2"/>
        <v>-54352.895472366698</v>
      </c>
      <c r="W16" s="23">
        <f t="shared" si="2"/>
        <v>-67956.515718418857</v>
      </c>
      <c r="X16" s="23">
        <f t="shared" si="2"/>
        <v>-79984.798469909598</v>
      </c>
      <c r="Y16" s="24">
        <f t="shared" si="2"/>
        <v>-75801.593509933329</v>
      </c>
      <c r="Z16" s="19"/>
      <c r="AB16" s="9"/>
    </row>
    <row r="18" spans="2:28" x14ac:dyDescent="0.3">
      <c r="C18" s="73" t="s">
        <v>11</v>
      </c>
      <c r="F18" s="1"/>
      <c r="G18" s="1"/>
      <c r="H18" s="1"/>
      <c r="I18" s="1"/>
      <c r="J18" s="1"/>
      <c r="K18" s="1"/>
      <c r="L18" s="1"/>
      <c r="M18" s="1"/>
      <c r="N18" s="1"/>
      <c r="O18" s="1"/>
      <c r="P18" s="1"/>
      <c r="Q18" s="1"/>
      <c r="R18" s="1"/>
      <c r="S18" s="1"/>
      <c r="T18" s="1"/>
      <c r="U18" s="1"/>
      <c r="V18" s="1"/>
      <c r="W18" s="1"/>
      <c r="X18" s="1"/>
      <c r="Y18" s="1"/>
      <c r="AB18" s="7" t="s">
        <v>2</v>
      </c>
    </row>
    <row r="19" spans="2:28" x14ac:dyDescent="0.3">
      <c r="B19" s="2" t="s">
        <v>0</v>
      </c>
      <c r="C19" s="102" t="s">
        <v>53</v>
      </c>
      <c r="D19" s="17"/>
      <c r="E19" s="17"/>
      <c r="F19" s="17">
        <f t="shared" ref="F19:Y25" si="3">F8</f>
        <v>310000</v>
      </c>
      <c r="G19" s="17">
        <f t="shared" si="3"/>
        <v>294376</v>
      </c>
      <c r="H19" s="17">
        <f t="shared" si="3"/>
        <v>279539.44959999999</v>
      </c>
      <c r="I19" s="17">
        <f t="shared" si="3"/>
        <v>265422.70739520004</v>
      </c>
      <c r="J19" s="17">
        <f t="shared" si="3"/>
        <v>252018.86067174241</v>
      </c>
      <c r="K19" s="17">
        <f t="shared" si="3"/>
        <v>239266.70632175228</v>
      </c>
      <c r="L19" s="17">
        <f t="shared" si="3"/>
        <v>227135.88431123944</v>
      </c>
      <c r="M19" s="17">
        <f t="shared" si="3"/>
        <v>215620.0949766596</v>
      </c>
      <c r="N19" s="17">
        <f>N36*(Assumptions!L8*Assumptions!$D$6/1000+Assumptions!L9)</f>
        <v>204666.59415184529</v>
      </c>
      <c r="O19" s="35">
        <f>O36*(Assumptions!M8*Assumptions!$D$6/1000+Assumptions!M9)</f>
        <v>184015.73480192409</v>
      </c>
      <c r="P19" s="35">
        <f>P36*(Assumptions!N8*Assumptions!$D$6/1000+Assumptions!N9)</f>
        <v>174630.93232702595</v>
      </c>
      <c r="Q19" s="35">
        <f>Q36*(Assumptions!O8*Assumptions!$D$6/1000+Assumptions!O9)</f>
        <v>165707.29168511491</v>
      </c>
      <c r="R19" s="35">
        <f>R36*(Assumptions!P8*Assumptions!$D$6/1000+Assumptions!P9)</f>
        <v>157206.50762166851</v>
      </c>
      <c r="S19" s="35">
        <f>S36*(Assumptions!Q8*Assumptions!$D$6/1000+Assumptions!Q9)</f>
        <v>149126.09312991475</v>
      </c>
      <c r="T19" s="35">
        <f>T36*(Assumptions!R8*Assumptions!$D$6/1000+Assumptions!R9)</f>
        <v>141446.09933372415</v>
      </c>
      <c r="U19" s="35">
        <f>U36*(Assumptions!S8*Assumptions!$D$6/1000+Assumptions!S9)</f>
        <v>134133.33599817063</v>
      </c>
      <c r="V19" s="35">
        <f>V36*(Assumptions!T8*Assumptions!$D$6/1000+Assumptions!T9)</f>
        <v>127185.22919346539</v>
      </c>
      <c r="W19" s="35">
        <f>W36*(Assumptions!U8*Assumptions!$D$6/1000+Assumptions!U9)</f>
        <v>120584.31579832453</v>
      </c>
      <c r="X19" s="35">
        <f>X36*(Assumptions!V8*Assumptions!$D$6/1000+Assumptions!V9)</f>
        <v>114301.87294523182</v>
      </c>
      <c r="Y19" s="36">
        <f>Y36*(Assumptions!W8*Assumptions!$D$6/1000+Assumptions!W9)</f>
        <v>108323.88499019619</v>
      </c>
      <c r="Z19" s="19"/>
      <c r="AB19" s="2">
        <f>NPV(0.04,G19:Z19)+F19</f>
        <v>2928922.8901691148</v>
      </c>
    </row>
    <row r="20" spans="2:28" x14ac:dyDescent="0.3">
      <c r="B20" s="2" t="s">
        <v>0</v>
      </c>
      <c r="C20" s="103" t="s">
        <v>13</v>
      </c>
      <c r="D20" s="19"/>
      <c r="E20" s="19"/>
      <c r="F20" s="19">
        <f t="shared" si="3"/>
        <v>-248000</v>
      </c>
      <c r="G20" s="19">
        <f t="shared" si="3"/>
        <v>0</v>
      </c>
      <c r="H20" s="19">
        <f t="shared" si="3"/>
        <v>0</v>
      </c>
      <c r="I20" s="19">
        <f t="shared" si="3"/>
        <v>0</v>
      </c>
      <c r="J20" s="19">
        <f t="shared" si="3"/>
        <v>0</v>
      </c>
      <c r="K20" s="19">
        <f t="shared" si="3"/>
        <v>0</v>
      </c>
      <c r="L20" s="19">
        <f t="shared" si="3"/>
        <v>0</v>
      </c>
      <c r="M20" s="19">
        <f t="shared" si="3"/>
        <v>0</v>
      </c>
      <c r="N20" s="19">
        <f t="shared" si="3"/>
        <v>0</v>
      </c>
      <c r="O20" s="19">
        <f t="shared" ref="O20:Y20" si="4">O9</f>
        <v>0</v>
      </c>
      <c r="P20" s="19">
        <f t="shared" si="4"/>
        <v>0</v>
      </c>
      <c r="Q20" s="19">
        <f t="shared" si="4"/>
        <v>0</v>
      </c>
      <c r="R20" s="19">
        <f t="shared" si="4"/>
        <v>0</v>
      </c>
      <c r="S20" s="19">
        <f t="shared" si="4"/>
        <v>0</v>
      </c>
      <c r="T20" s="19">
        <f t="shared" si="4"/>
        <v>0</v>
      </c>
      <c r="U20" s="19">
        <f t="shared" si="4"/>
        <v>0</v>
      </c>
      <c r="V20" s="19">
        <f t="shared" si="4"/>
        <v>0</v>
      </c>
      <c r="W20" s="19">
        <f t="shared" si="4"/>
        <v>0</v>
      </c>
      <c r="X20" s="19">
        <f t="shared" si="4"/>
        <v>0</v>
      </c>
      <c r="Y20" s="22">
        <f t="shared" si="4"/>
        <v>0</v>
      </c>
      <c r="Z20" s="19"/>
      <c r="AB20" s="2">
        <f t="shared" ref="AB20:AB22" si="5">NPV(0.04,G20:Z20)+F20</f>
        <v>-248000</v>
      </c>
    </row>
    <row r="21" spans="2:28" x14ac:dyDescent="0.3">
      <c r="B21" s="2" t="s">
        <v>0</v>
      </c>
      <c r="C21" s="104" t="s">
        <v>54</v>
      </c>
      <c r="D21" s="19"/>
      <c r="E21" s="19"/>
      <c r="F21" s="19">
        <f t="shared" si="3"/>
        <v>0</v>
      </c>
      <c r="G21" s="19">
        <f t="shared" si="3"/>
        <v>-14718.800000000001</v>
      </c>
      <c r="H21" s="19">
        <f t="shared" si="3"/>
        <v>-13976.97248</v>
      </c>
      <c r="I21" s="19">
        <f t="shared" si="3"/>
        <v>-13271.135369760003</v>
      </c>
      <c r="J21" s="19">
        <f t="shared" si="3"/>
        <v>-12600.943033587122</v>
      </c>
      <c r="K21" s="19">
        <f t="shared" si="3"/>
        <v>-11963.335316087614</v>
      </c>
      <c r="L21" s="19">
        <f t="shared" si="3"/>
        <v>-11356.794215561973</v>
      </c>
      <c r="M21" s="19">
        <f t="shared" si="3"/>
        <v>-10781.00474883298</v>
      </c>
      <c r="N21" s="19">
        <f>-N19*Assumptions!L10</f>
        <v>-10233.329707592266</v>
      </c>
      <c r="O21" s="29">
        <f>-O19*Assumptions!M10</f>
        <v>-9200.7867400962041</v>
      </c>
      <c r="P21" s="29">
        <f>-P19*Assumptions!N10</f>
        <v>-8731.5466163512974</v>
      </c>
      <c r="Q21" s="29">
        <f>-Q19*Assumptions!O10</f>
        <v>-8285.3645842557453</v>
      </c>
      <c r="R21" s="29">
        <f>-R19*Assumptions!P10</f>
        <v>-7860.3253810834258</v>
      </c>
      <c r="S21" s="29">
        <f>-S19*Assumptions!Q10</f>
        <v>-7456.3046564957376</v>
      </c>
      <c r="T21" s="29">
        <f>-T19*Assumptions!R10</f>
        <v>-7072.304966686208</v>
      </c>
      <c r="U21" s="29">
        <f>-U19*Assumptions!S10</f>
        <v>-6706.6667999085321</v>
      </c>
      <c r="V21" s="29">
        <f>-V19*Assumptions!T10</f>
        <v>-6359.2614596732701</v>
      </c>
      <c r="W21" s="29">
        <f>-W19*Assumptions!U10</f>
        <v>-6029.2157899162266</v>
      </c>
      <c r="X21" s="29">
        <f>-X19*Assumptions!V10</f>
        <v>-5715.0936472615913</v>
      </c>
      <c r="Y21" s="32">
        <f>-Y19*Assumptions!W10</f>
        <v>-5416.1942495098101</v>
      </c>
      <c r="Z21" s="19"/>
      <c r="AB21" s="2">
        <f t="shared" si="5"/>
        <v>-130946.14450845575</v>
      </c>
    </row>
    <row r="22" spans="2:28" x14ac:dyDescent="0.3">
      <c r="B22" s="2" t="s">
        <v>0</v>
      </c>
      <c r="C22" s="104" t="s">
        <v>45</v>
      </c>
      <c r="D22" s="19"/>
      <c r="E22" s="19"/>
      <c r="F22" s="19">
        <f t="shared" si="3"/>
        <v>-40000</v>
      </c>
      <c r="G22" s="19">
        <f t="shared" si="3"/>
        <v>0</v>
      </c>
      <c r="H22" s="19">
        <f t="shared" si="3"/>
        <v>0</v>
      </c>
      <c r="I22" s="19">
        <f t="shared" si="3"/>
        <v>0</v>
      </c>
      <c r="J22" s="19">
        <f t="shared" si="3"/>
        <v>0</v>
      </c>
      <c r="K22" s="19">
        <f t="shared" si="3"/>
        <v>0</v>
      </c>
      <c r="L22" s="19">
        <f t="shared" si="3"/>
        <v>0</v>
      </c>
      <c r="M22" s="19">
        <f t="shared" si="3"/>
        <v>0</v>
      </c>
      <c r="N22" s="19">
        <f t="shared" si="3"/>
        <v>0</v>
      </c>
      <c r="O22" s="19">
        <f t="shared" si="3"/>
        <v>0</v>
      </c>
      <c r="P22" s="19">
        <f t="shared" si="3"/>
        <v>0</v>
      </c>
      <c r="Q22" s="19">
        <f t="shared" si="3"/>
        <v>0</v>
      </c>
      <c r="R22" s="19">
        <f t="shared" si="3"/>
        <v>0</v>
      </c>
      <c r="S22" s="19">
        <f t="shared" si="3"/>
        <v>0</v>
      </c>
      <c r="T22" s="19">
        <f t="shared" si="3"/>
        <v>0</v>
      </c>
      <c r="U22" s="19">
        <f t="shared" si="3"/>
        <v>0</v>
      </c>
      <c r="V22" s="19">
        <f t="shared" si="3"/>
        <v>0</v>
      </c>
      <c r="W22" s="19">
        <f t="shared" si="3"/>
        <v>0</v>
      </c>
      <c r="X22" s="19">
        <f t="shared" si="3"/>
        <v>0</v>
      </c>
      <c r="Y22" s="22">
        <f t="shared" si="3"/>
        <v>0</v>
      </c>
      <c r="Z22" s="19"/>
      <c r="AB22" s="2">
        <f t="shared" si="5"/>
        <v>-40000</v>
      </c>
    </row>
    <row r="23" spans="2:28" x14ac:dyDescent="0.3">
      <c r="B23" s="2" t="s">
        <v>1</v>
      </c>
      <c r="C23" s="104" t="s">
        <v>47</v>
      </c>
      <c r="D23" s="19"/>
      <c r="E23" s="19"/>
      <c r="F23" s="19">
        <f t="shared" si="3"/>
        <v>-25000</v>
      </c>
      <c r="G23" s="19">
        <f t="shared" si="3"/>
        <v>-23740</v>
      </c>
      <c r="H23" s="19">
        <f t="shared" si="3"/>
        <v>-22543.504000000001</v>
      </c>
      <c r="I23" s="19">
        <f t="shared" si="3"/>
        <v>-21405.057048000002</v>
      </c>
      <c r="J23" s="19">
        <f t="shared" si="3"/>
        <v>-20324.101667076</v>
      </c>
      <c r="K23" s="19">
        <f t="shared" si="3"/>
        <v>-19295.702122721956</v>
      </c>
      <c r="L23" s="19">
        <f t="shared" si="3"/>
        <v>-18317.410025099955</v>
      </c>
      <c r="M23" s="19">
        <f t="shared" si="3"/>
        <v>-17388.717336827387</v>
      </c>
      <c r="N23" s="19">
        <f>-N36*Assumptions!L13</f>
        <v>-16505.370496116557</v>
      </c>
      <c r="O23" s="29">
        <f>-O36*Assumptions!M13</f>
        <v>-14839.978613058394</v>
      </c>
      <c r="P23" s="29">
        <f>-P36*Assumptions!N13</f>
        <v>-14083.139703792414</v>
      </c>
      <c r="Q23" s="29">
        <f>-Q36*Assumptions!O13</f>
        <v>-13363.49126492862</v>
      </c>
      <c r="R23" s="29">
        <f>-R36*Assumptions!P13</f>
        <v>-12677.944163037782</v>
      </c>
      <c r="S23" s="29">
        <f>-S36*Assumptions!Q13</f>
        <v>-12026.297833057642</v>
      </c>
      <c r="T23" s="29">
        <f>-T36*Assumptions!R13</f>
        <v>-11406.943494655174</v>
      </c>
      <c r="U23" s="29">
        <f>-U36*Assumptions!S13</f>
        <v>-10817.204515981501</v>
      </c>
      <c r="V23" s="29">
        <f>-V36*Assumptions!T13</f>
        <v>-10256.87332205366</v>
      </c>
      <c r="W23" s="29">
        <f>-W36*Assumptions!U13</f>
        <v>-9724.5415966390756</v>
      </c>
      <c r="X23" s="29">
        <f>-X36*Assumptions!V13</f>
        <v>-9217.8929794541782</v>
      </c>
      <c r="Y23" s="32">
        <f>-Y36*Assumptions!W13</f>
        <v>-8735.7971766287246</v>
      </c>
      <c r="Z23" s="19"/>
      <c r="AB23" s="2">
        <f>NPV(0.04,F23:Z23)</f>
        <v>-227118.71046596736</v>
      </c>
    </row>
    <row r="24" spans="2:28" x14ac:dyDescent="0.3">
      <c r="B24" s="2" t="s">
        <v>0</v>
      </c>
      <c r="C24" s="104" t="s">
        <v>46</v>
      </c>
      <c r="D24" s="19"/>
      <c r="E24" s="19"/>
      <c r="F24" s="19">
        <f t="shared" si="3"/>
        <v>-60000</v>
      </c>
      <c r="G24" s="19">
        <f t="shared" si="3"/>
        <v>0</v>
      </c>
      <c r="H24" s="19">
        <f t="shared" si="3"/>
        <v>0</v>
      </c>
      <c r="I24" s="19">
        <f t="shared" si="3"/>
        <v>0</v>
      </c>
      <c r="J24" s="19">
        <f t="shared" si="3"/>
        <v>0</v>
      </c>
      <c r="K24" s="19">
        <f t="shared" si="3"/>
        <v>0</v>
      </c>
      <c r="L24" s="19">
        <f t="shared" si="3"/>
        <v>0</v>
      </c>
      <c r="M24" s="19">
        <f t="shared" si="3"/>
        <v>0</v>
      </c>
      <c r="N24" s="19">
        <f t="shared" si="3"/>
        <v>0</v>
      </c>
      <c r="O24" s="19">
        <f t="shared" si="3"/>
        <v>0</v>
      </c>
      <c r="P24" s="19">
        <f t="shared" si="3"/>
        <v>0</v>
      </c>
      <c r="Q24" s="19">
        <f t="shared" si="3"/>
        <v>0</v>
      </c>
      <c r="R24" s="19">
        <f t="shared" si="3"/>
        <v>0</v>
      </c>
      <c r="S24" s="19">
        <f t="shared" si="3"/>
        <v>0</v>
      </c>
      <c r="T24" s="19">
        <f t="shared" si="3"/>
        <v>0</v>
      </c>
      <c r="U24" s="19">
        <f t="shared" si="3"/>
        <v>0</v>
      </c>
      <c r="V24" s="19">
        <f t="shared" si="3"/>
        <v>0</v>
      </c>
      <c r="W24" s="19">
        <f t="shared" si="3"/>
        <v>0</v>
      </c>
      <c r="X24" s="19">
        <f t="shared" si="3"/>
        <v>0</v>
      </c>
      <c r="Y24" s="22">
        <f t="shared" si="3"/>
        <v>0</v>
      </c>
      <c r="Z24" s="19"/>
      <c r="AB24" s="2">
        <f>NPV(0.04,G24:Z24)+F24</f>
        <v>-60000</v>
      </c>
    </row>
    <row r="25" spans="2:28" x14ac:dyDescent="0.3">
      <c r="B25" s="2" t="s">
        <v>1</v>
      </c>
      <c r="C25" s="104" t="s">
        <v>48</v>
      </c>
      <c r="D25" s="19"/>
      <c r="E25" s="19"/>
      <c r="F25" s="19">
        <f>F14</f>
        <v>-15000</v>
      </c>
      <c r="G25" s="19">
        <f t="shared" si="3"/>
        <v>-14244</v>
      </c>
      <c r="H25" s="19">
        <f t="shared" si="3"/>
        <v>-13526.102400000002</v>
      </c>
      <c r="I25" s="19">
        <f t="shared" si="3"/>
        <v>-12843.034228800003</v>
      </c>
      <c r="J25" s="19">
        <f t="shared" si="3"/>
        <v>-12194.461000245601</v>
      </c>
      <c r="K25" s="19">
        <f t="shared" si="3"/>
        <v>-11577.421273633174</v>
      </c>
      <c r="L25" s="19">
        <f t="shared" si="3"/>
        <v>-10990.446015059973</v>
      </c>
      <c r="M25" s="19">
        <f t="shared" si="3"/>
        <v>-10433.230402096431</v>
      </c>
      <c r="N25" s="19">
        <f>-N36*Assumptions!L14</f>
        <v>-9903.2222976699322</v>
      </c>
      <c r="O25" s="29">
        <f>-O36*Assumptions!M14</f>
        <v>-8903.9871678350373</v>
      </c>
      <c r="P25" s="29">
        <f>-P36*Assumptions!N14</f>
        <v>-8449.8838222754493</v>
      </c>
      <c r="Q25" s="29">
        <f>-Q36*Assumptions!O14</f>
        <v>-8018.0947589571724</v>
      </c>
      <c r="R25" s="29">
        <f>-R36*Assumptions!P14</f>
        <v>-7606.7664978226703</v>
      </c>
      <c r="S25" s="29">
        <f>-S36*Assumptions!Q14</f>
        <v>-7215.7786998345846</v>
      </c>
      <c r="T25" s="29">
        <f>-T36*Assumptions!R14</f>
        <v>-6844.1660967931039</v>
      </c>
      <c r="U25" s="29">
        <f>-U36*Assumptions!S14</f>
        <v>-6490.3227095889006</v>
      </c>
      <c r="V25" s="29">
        <f>-V36*Assumptions!T14</f>
        <v>-6154.123993232196</v>
      </c>
      <c r="W25" s="29">
        <f>-W36*Assumptions!U14</f>
        <v>-5834.7249579834452</v>
      </c>
      <c r="X25" s="29">
        <f>-X36*Assumptions!V14</f>
        <v>-5530.7357876725073</v>
      </c>
      <c r="Y25" s="32">
        <f>-Y36*Assumptions!W14</f>
        <v>-5241.4783059772353</v>
      </c>
      <c r="Z25" s="19"/>
      <c r="AB25" s="2">
        <f>NPV(0.04,F25:Z25)</f>
        <v>-136271.22627958041</v>
      </c>
    </row>
    <row r="26" spans="2:28" x14ac:dyDescent="0.3">
      <c r="B26" s="2" t="s">
        <v>1</v>
      </c>
      <c r="C26" s="105" t="s">
        <v>9</v>
      </c>
      <c r="D26" s="19"/>
      <c r="E26" s="19"/>
      <c r="F26" s="19">
        <f t="shared" ref="F26:M26" si="6">F15</f>
        <v>-80000</v>
      </c>
      <c r="G26" s="19">
        <f t="shared" si="6"/>
        <v>-75968</v>
      </c>
      <c r="H26" s="19">
        <f t="shared" si="6"/>
        <v>-90174.016000000018</v>
      </c>
      <c r="I26" s="19">
        <f t="shared" si="6"/>
        <v>-85620.22819200001</v>
      </c>
      <c r="J26" s="19">
        <f t="shared" si="6"/>
        <v>-97555.688001964809</v>
      </c>
      <c r="K26" s="19">
        <f t="shared" si="6"/>
        <v>-108055.93188724296</v>
      </c>
      <c r="L26" s="19">
        <f t="shared" si="6"/>
        <v>-102577.49614055976</v>
      </c>
      <c r="M26" s="19">
        <f t="shared" si="6"/>
        <v>-111287.79095569528</v>
      </c>
      <c r="N26" s="19">
        <f>-N37*Assumptions!$D$6</f>
        <v>-118838.66757203921</v>
      </c>
      <c r="O26" s="29">
        <f>-O37*Assumptions!$D$6</f>
        <v>-118719.82890446715</v>
      </c>
      <c r="P26" s="29">
        <f>-P37*Assumptions!$D$6</f>
        <v>-123931.62939337325</v>
      </c>
      <c r="Q26" s="29">
        <f>-Q37*Assumptions!$D$6</f>
        <v>-138980.30915525765</v>
      </c>
      <c r="R26" s="29">
        <f>-R37*Assumptions!$D$6</f>
        <v>-141992.97462602318</v>
      </c>
      <c r="S26" s="29">
        <f>-S37*Assumptions!$D$6</f>
        <v>-144315.5739966917</v>
      </c>
      <c r="T26" s="29">
        <f>-T37*Assumptions!$D$6</f>
        <v>-155134.43152731037</v>
      </c>
      <c r="U26" s="29">
        <f>-U37*Assumptions!$D$6</f>
        <v>-155767.74503013361</v>
      </c>
      <c r="V26" s="29">
        <f>-V37*Assumptions!$D$6</f>
        <v>-155904.47449521563</v>
      </c>
      <c r="W26" s="29">
        <f>-W37*Assumptions!$D$6</f>
        <v>-163372.29882353646</v>
      </c>
      <c r="X26" s="29">
        <f>-X37*Assumptions!$D$6</f>
        <v>-169609.23082195688</v>
      </c>
      <c r="Y26" s="32">
        <f>-Y37*Assumptions!$D$6</f>
        <v>-160738.66804996855</v>
      </c>
      <c r="Z26" s="19"/>
      <c r="AB26" s="2">
        <f>NPV(0.04,F26:Z26)</f>
        <v>-1608836.8936235206</v>
      </c>
    </row>
    <row r="27" spans="2:28" x14ac:dyDescent="0.3">
      <c r="C27" s="106" t="s">
        <v>12</v>
      </c>
      <c r="D27" s="23"/>
      <c r="E27" s="23"/>
      <c r="F27" s="23">
        <f t="shared" ref="F27:Y27" si="7">SUM(F19:F26)</f>
        <v>-158000</v>
      </c>
      <c r="G27" s="23">
        <f t="shared" si="7"/>
        <v>165705.20000000001</v>
      </c>
      <c r="H27" s="23">
        <f t="shared" si="7"/>
        <v>139318.85471999994</v>
      </c>
      <c r="I27" s="23">
        <f t="shared" si="7"/>
        <v>132283.25255663999</v>
      </c>
      <c r="J27" s="23">
        <f t="shared" si="7"/>
        <v>109343.66696886889</v>
      </c>
      <c r="K27" s="23">
        <f t="shared" si="7"/>
        <v>88374.315722066574</v>
      </c>
      <c r="L27" s="23">
        <f t="shared" si="7"/>
        <v>83893.737914957776</v>
      </c>
      <c r="M27" s="23">
        <f t="shared" si="7"/>
        <v>65729.351533207504</v>
      </c>
      <c r="N27" s="23">
        <f t="shared" si="7"/>
        <v>49186.00407842733</v>
      </c>
      <c r="O27" s="33">
        <f t="shared" si="7"/>
        <v>32351.153376467308</v>
      </c>
      <c r="P27" s="33">
        <f t="shared" si="7"/>
        <v>19434.73279123356</v>
      </c>
      <c r="Q27" s="33">
        <f t="shared" si="7"/>
        <v>-2939.9680782842624</v>
      </c>
      <c r="R27" s="33">
        <f t="shared" si="7"/>
        <v>-12931.503046298531</v>
      </c>
      <c r="S27" s="33">
        <f t="shared" si="7"/>
        <v>-21887.86205616493</v>
      </c>
      <c r="T27" s="33">
        <f t="shared" si="7"/>
        <v>-39011.746751720711</v>
      </c>
      <c r="U27" s="33">
        <f t="shared" si="7"/>
        <v>-45648.603057441913</v>
      </c>
      <c r="V27" s="33">
        <f t="shared" si="7"/>
        <v>-51489.504076709374</v>
      </c>
      <c r="W27" s="33">
        <f t="shared" si="7"/>
        <v>-64376.465369750673</v>
      </c>
      <c r="X27" s="33">
        <f t="shared" si="7"/>
        <v>-75771.080291113321</v>
      </c>
      <c r="Y27" s="34">
        <f t="shared" si="7"/>
        <v>-71808.25279188811</v>
      </c>
      <c r="Z27" s="19"/>
      <c r="AB27" s="3">
        <f>SUM(AB19:AB26)</f>
        <v>477749.91529159062</v>
      </c>
    </row>
    <row r="29" spans="2:28" ht="28.2" x14ac:dyDescent="0.3">
      <c r="C29" s="107" t="s">
        <v>14</v>
      </c>
    </row>
    <row r="30" spans="2:28" x14ac:dyDescent="0.3">
      <c r="B30" s="16" t="s">
        <v>1</v>
      </c>
      <c r="C30" s="108" t="s">
        <v>9</v>
      </c>
      <c r="D30" s="25"/>
      <c r="E30" s="25"/>
      <c r="F30" s="25">
        <f>F15*Assumptions!D22</f>
        <v>-8000</v>
      </c>
      <c r="G30" s="25">
        <f>G15*Assumptions!E22</f>
        <v>-7596.8</v>
      </c>
      <c r="H30" s="25">
        <f>H15*Assumptions!F22</f>
        <v>-9017.4016000000029</v>
      </c>
      <c r="I30" s="25">
        <f>I15*Assumptions!G22</f>
        <v>-8562.0228192000013</v>
      </c>
      <c r="J30" s="25">
        <f>J15*Assumptions!H22</f>
        <v>-9755.5688001964809</v>
      </c>
      <c r="K30" s="25">
        <f>K15*Assumptions!I22</f>
        <v>-10805.593188724297</v>
      </c>
      <c r="L30" s="25">
        <f>L15*Assumptions!J22</f>
        <v>-10257.749614055976</v>
      </c>
      <c r="M30" s="25">
        <f>M15*Assumptions!K22</f>
        <v>-11128.779095569529</v>
      </c>
      <c r="N30" s="25">
        <f>N15*Assumptions!L22</f>
        <v>-11883.866757203921</v>
      </c>
      <c r="O30" s="25">
        <f>O15*Assumptions!M22</f>
        <v>-12532.197710291379</v>
      </c>
      <c r="P30" s="25">
        <f>P15*Assumptions!N22</f>
        <v>-13082.361189773168</v>
      </c>
      <c r="Q30" s="25">
        <f>Q15*Assumptions!O22</f>
        <v>-14670.916629880447</v>
      </c>
      <c r="R30" s="25">
        <f>R15*Assumptions!P22</f>
        <v>-14988.936961134321</v>
      </c>
      <c r="S30" s="25">
        <f>S15*Assumptions!Q22</f>
        <v>-15234.113144284302</v>
      </c>
      <c r="T30" s="25">
        <f>T15*Assumptions!R22</f>
        <v>-16376.163826334148</v>
      </c>
      <c r="U30" s="25">
        <f>U15*Assumptions!S22</f>
        <v>-16443.017106895768</v>
      </c>
      <c r="V30" s="25">
        <f>V15*Assumptions!T22</f>
        <v>-16457.450421911824</v>
      </c>
      <c r="W30" s="25">
        <f>W15*Assumptions!U22</f>
        <v>-17245.7622971214</v>
      </c>
      <c r="X30" s="25">
        <f>X15*Assumptions!V22</f>
        <v>-17904.139803483413</v>
      </c>
      <c r="Y30" s="26">
        <f>Y15*Assumptions!W22</f>
        <v>-16967.75329176123</v>
      </c>
      <c r="Z30" s="19"/>
    </row>
    <row r="31" spans="2:28" x14ac:dyDescent="0.3">
      <c r="B31" s="16"/>
      <c r="C31" s="31"/>
      <c r="D31" s="19"/>
      <c r="E31" s="19"/>
      <c r="F31" s="19"/>
      <c r="G31" s="19"/>
      <c r="H31" s="19"/>
      <c r="I31" s="19"/>
      <c r="J31" s="19"/>
      <c r="K31" s="19"/>
      <c r="L31" s="19"/>
      <c r="M31" s="19"/>
      <c r="N31" s="19"/>
      <c r="O31" s="19"/>
      <c r="P31" s="19"/>
      <c r="Q31" s="19"/>
      <c r="R31" s="19"/>
      <c r="S31" s="19"/>
      <c r="T31" s="19"/>
      <c r="U31" s="19"/>
      <c r="V31" s="19"/>
      <c r="W31" s="19"/>
      <c r="X31" s="19"/>
      <c r="Y31" s="19"/>
    </row>
    <row r="32" spans="2:28" ht="28.2" x14ac:dyDescent="0.3">
      <c r="B32" s="16"/>
      <c r="C32" s="107" t="s">
        <v>15</v>
      </c>
      <c r="D32" s="19"/>
      <c r="E32" s="19"/>
      <c r="F32" s="19"/>
      <c r="G32" s="19"/>
      <c r="H32" s="19"/>
      <c r="I32" s="19"/>
      <c r="J32" s="19"/>
      <c r="K32" s="19"/>
      <c r="L32" s="19"/>
      <c r="M32" s="19"/>
      <c r="N32" s="19"/>
      <c r="O32" s="19"/>
      <c r="P32" s="19"/>
      <c r="Q32" s="19"/>
      <c r="R32" s="19"/>
      <c r="S32" s="19"/>
      <c r="T32" s="19"/>
      <c r="U32" s="19"/>
      <c r="V32" s="19"/>
      <c r="W32" s="19"/>
      <c r="X32" s="19"/>
      <c r="Y32" s="19"/>
    </row>
    <row r="33" spans="2:26" x14ac:dyDescent="0.3">
      <c r="B33" s="16" t="s">
        <v>1</v>
      </c>
      <c r="C33" s="108" t="s">
        <v>9</v>
      </c>
      <c r="D33" s="25"/>
      <c r="E33" s="25"/>
      <c r="F33" s="25">
        <f>F30</f>
        <v>-8000</v>
      </c>
      <c r="G33" s="25">
        <f t="shared" ref="G33:N33" si="8">G30</f>
        <v>-7596.8</v>
      </c>
      <c r="H33" s="25">
        <f t="shared" si="8"/>
        <v>-9017.4016000000029</v>
      </c>
      <c r="I33" s="25">
        <f t="shared" si="8"/>
        <v>-8562.0228192000013</v>
      </c>
      <c r="J33" s="25">
        <f t="shared" si="8"/>
        <v>-9755.5688001964809</v>
      </c>
      <c r="K33" s="25">
        <f t="shared" si="8"/>
        <v>-10805.593188724297</v>
      </c>
      <c r="L33" s="25">
        <f t="shared" si="8"/>
        <v>-10257.749614055976</v>
      </c>
      <c r="M33" s="25">
        <f t="shared" si="8"/>
        <v>-11128.779095569529</v>
      </c>
      <c r="N33" s="25">
        <f t="shared" si="8"/>
        <v>-11883.866757203921</v>
      </c>
      <c r="O33" s="40">
        <f>O26*Assumptions!M22</f>
        <v>-11871.982890446716</v>
      </c>
      <c r="P33" s="40">
        <f>P26*Assumptions!N22</f>
        <v>-12393.162939337326</v>
      </c>
      <c r="Q33" s="40">
        <f>Q26*Assumptions!O22</f>
        <v>-13898.030915525766</v>
      </c>
      <c r="R33" s="40">
        <f>R26*Assumptions!P22</f>
        <v>-14199.297462602319</v>
      </c>
      <c r="S33" s="40">
        <f>S26*Assumptions!Q22</f>
        <v>-14431.557399669171</v>
      </c>
      <c r="T33" s="40">
        <f>T26*Assumptions!R22</f>
        <v>-15513.443152731037</v>
      </c>
      <c r="U33" s="40">
        <f>U26*Assumptions!S22</f>
        <v>-15576.774503013361</v>
      </c>
      <c r="V33" s="40">
        <f>V26*Assumptions!T22</f>
        <v>-15590.447449521564</v>
      </c>
      <c r="W33" s="40">
        <f>W26*Assumptions!U22</f>
        <v>-16337.229882353648</v>
      </c>
      <c r="X33" s="40">
        <f>X26*Assumptions!V22</f>
        <v>-16960.923082195688</v>
      </c>
      <c r="Y33" s="41">
        <f>Y26*Assumptions!W22</f>
        <v>-16073.866804996855</v>
      </c>
      <c r="Z33" s="19"/>
    </row>
    <row r="34" spans="2:26" x14ac:dyDescent="0.3">
      <c r="C34" s="6"/>
      <c r="N34" s="19"/>
    </row>
    <row r="35" spans="2:26" x14ac:dyDescent="0.3">
      <c r="C35" s="73" t="s">
        <v>57</v>
      </c>
    </row>
    <row r="36" spans="2:26" x14ac:dyDescent="0.3">
      <c r="C36" s="110" t="s">
        <v>67</v>
      </c>
      <c r="D36" s="17"/>
      <c r="E36" s="17"/>
      <c r="F36" s="17">
        <f>Assumptions!D7</f>
        <v>1000</v>
      </c>
      <c r="G36" s="17">
        <f>F39</f>
        <v>949.6</v>
      </c>
      <c r="H36" s="17">
        <f t="shared" ref="H36:Y36" si="9">G39</f>
        <v>901.74016000000006</v>
      </c>
      <c r="I36" s="17">
        <f t="shared" si="9"/>
        <v>856.20228192000013</v>
      </c>
      <c r="J36" s="17">
        <f t="shared" si="9"/>
        <v>812.96406668304007</v>
      </c>
      <c r="K36" s="17">
        <f t="shared" si="9"/>
        <v>771.82808490887828</v>
      </c>
      <c r="L36" s="17">
        <f t="shared" si="9"/>
        <v>732.69640100399818</v>
      </c>
      <c r="M36" s="17">
        <f t="shared" si="9"/>
        <v>695.54869347309545</v>
      </c>
      <c r="N36" s="17">
        <f t="shared" si="9"/>
        <v>660.2148198446622</v>
      </c>
      <c r="O36" s="35">
        <f t="shared" si="9"/>
        <v>593.59914452233579</v>
      </c>
      <c r="P36" s="35">
        <f t="shared" si="9"/>
        <v>563.32558815169659</v>
      </c>
      <c r="Q36" s="35">
        <f t="shared" si="9"/>
        <v>534.53965059714483</v>
      </c>
      <c r="R36" s="35">
        <f t="shared" si="9"/>
        <v>507.11776652151133</v>
      </c>
      <c r="S36" s="35">
        <f t="shared" si="9"/>
        <v>481.05191332230567</v>
      </c>
      <c r="T36" s="35">
        <f t="shared" si="9"/>
        <v>456.27773978620695</v>
      </c>
      <c r="U36" s="35">
        <f t="shared" si="9"/>
        <v>432.68818063926005</v>
      </c>
      <c r="V36" s="35">
        <f t="shared" si="9"/>
        <v>410.2749328821464</v>
      </c>
      <c r="W36" s="35">
        <f t="shared" si="9"/>
        <v>388.98166386556301</v>
      </c>
      <c r="X36" s="35">
        <f t="shared" si="9"/>
        <v>368.71571917816715</v>
      </c>
      <c r="Y36" s="36">
        <f t="shared" si="9"/>
        <v>349.431887065149</v>
      </c>
      <c r="Z36" s="19"/>
    </row>
    <row r="37" spans="2:26" x14ac:dyDescent="0.3">
      <c r="C37" s="104" t="s">
        <v>55</v>
      </c>
      <c r="D37" s="19"/>
      <c r="E37" s="19"/>
      <c r="F37" s="20">
        <f>F36*Assumptions!D20</f>
        <v>0.4</v>
      </c>
      <c r="G37" s="20">
        <f>G36*Assumptions!E20</f>
        <v>0.37984000000000001</v>
      </c>
      <c r="H37" s="20">
        <f>H36*Assumptions!F20</f>
        <v>0.45087008000000006</v>
      </c>
      <c r="I37" s="20">
        <f>I36*Assumptions!G20</f>
        <v>0.42810114096000007</v>
      </c>
      <c r="J37" s="20">
        <f>J36*Assumptions!H20</f>
        <v>0.48777844000982407</v>
      </c>
      <c r="K37" s="20">
        <f>K36*Assumptions!I20</f>
        <v>0.54027965943621481</v>
      </c>
      <c r="L37" s="20">
        <f>L36*Assumptions!J20</f>
        <v>0.51288748070279877</v>
      </c>
      <c r="M37" s="20">
        <f>M36*Assumptions!K20</f>
        <v>0.55643895477847638</v>
      </c>
      <c r="N37" s="20">
        <f>N36*Assumptions!L20</f>
        <v>0.59419333786019601</v>
      </c>
      <c r="O37" s="37">
        <f>O36*Assumptions!M20</f>
        <v>0.59359914452233575</v>
      </c>
      <c r="P37" s="37">
        <f>P36*Assumptions!N20</f>
        <v>0.61965814696686627</v>
      </c>
      <c r="Q37" s="37">
        <f>Q36*Assumptions!O20</f>
        <v>0.69490154577628827</v>
      </c>
      <c r="R37" s="37">
        <f>R36*Assumptions!P20</f>
        <v>0.70996487313011591</v>
      </c>
      <c r="S37" s="37">
        <f>S36*Assumptions!Q20</f>
        <v>0.72157786998345852</v>
      </c>
      <c r="T37" s="37">
        <f>T36*Assumptions!R20</f>
        <v>0.77567215763655184</v>
      </c>
      <c r="U37" s="37">
        <f>U36*Assumptions!S20</f>
        <v>0.7788387251506681</v>
      </c>
      <c r="V37" s="37">
        <f>V36*Assumptions!T20</f>
        <v>0.77952237247607814</v>
      </c>
      <c r="W37" s="37">
        <f>W36*Assumptions!U20</f>
        <v>0.81686149411768227</v>
      </c>
      <c r="X37" s="37">
        <f>X36*Assumptions!V20</f>
        <v>0.84804615410978446</v>
      </c>
      <c r="Y37" s="38">
        <f>Y36*Assumptions!W20</f>
        <v>0.80369334024984274</v>
      </c>
      <c r="Z37" s="20"/>
    </row>
    <row r="38" spans="2:26" x14ac:dyDescent="0.3">
      <c r="C38" s="104" t="s">
        <v>56</v>
      </c>
      <c r="D38" s="19"/>
      <c r="E38" s="19"/>
      <c r="F38" s="19">
        <f>F36*Assumptions!D19</f>
        <v>50</v>
      </c>
      <c r="G38" s="19">
        <f>G36*Assumptions!E19</f>
        <v>47.480000000000004</v>
      </c>
      <c r="H38" s="19">
        <f>H36*Assumptions!F19</f>
        <v>45.087008000000004</v>
      </c>
      <c r="I38" s="19">
        <f>I36*Assumptions!G19</f>
        <v>42.810114096000007</v>
      </c>
      <c r="J38" s="19">
        <f>J36*Assumptions!H19</f>
        <v>40.648203334152008</v>
      </c>
      <c r="K38" s="19">
        <f>K36*Assumptions!I19</f>
        <v>38.591404245443918</v>
      </c>
      <c r="L38" s="19">
        <f>L36*Assumptions!J19</f>
        <v>36.634820050199913</v>
      </c>
      <c r="M38" s="19">
        <f>M36*Assumptions!K19</f>
        <v>34.777434673654774</v>
      </c>
      <c r="N38" s="29">
        <f>N36*Assumptions!L31</f>
        <v>66.02148198446622</v>
      </c>
      <c r="O38" s="29">
        <f>O36*Assumptions!M19</f>
        <v>29.679957226116791</v>
      </c>
      <c r="P38" s="29">
        <f>P36*Assumptions!N19</f>
        <v>28.166279407584831</v>
      </c>
      <c r="Q38" s="29">
        <f>Q36*Assumptions!O19</f>
        <v>26.726982529857242</v>
      </c>
      <c r="R38" s="29">
        <f>R36*Assumptions!P19</f>
        <v>25.355888326075569</v>
      </c>
      <c r="S38" s="29">
        <f>S36*Assumptions!Q19</f>
        <v>24.052595666115284</v>
      </c>
      <c r="T38" s="29">
        <f>T36*Assumptions!R19</f>
        <v>22.813886989310348</v>
      </c>
      <c r="U38" s="29">
        <f>U36*Assumptions!S19</f>
        <v>21.634409031963003</v>
      </c>
      <c r="V38" s="29">
        <f>V36*Assumptions!T19</f>
        <v>20.513746644107322</v>
      </c>
      <c r="W38" s="29">
        <f>W36*Assumptions!U19</f>
        <v>19.449083193278152</v>
      </c>
      <c r="X38" s="29">
        <f>X36*Assumptions!V19</f>
        <v>18.435785958908358</v>
      </c>
      <c r="Y38" s="32">
        <f>Y36*Assumptions!W19</f>
        <v>349.431887065149</v>
      </c>
      <c r="Z38" s="19"/>
    </row>
    <row r="39" spans="2:26" x14ac:dyDescent="0.3">
      <c r="C39" s="111" t="s">
        <v>68</v>
      </c>
      <c r="D39" s="23"/>
      <c r="E39" s="23"/>
      <c r="F39" s="23">
        <f>F36-F37-F38</f>
        <v>949.6</v>
      </c>
      <c r="G39" s="23">
        <f t="shared" ref="G39:Y39" si="10">G36-G37-G38</f>
        <v>901.74016000000006</v>
      </c>
      <c r="H39" s="23">
        <f t="shared" si="10"/>
        <v>856.20228192000013</v>
      </c>
      <c r="I39" s="23">
        <f t="shared" si="10"/>
        <v>812.96406668304007</v>
      </c>
      <c r="J39" s="23">
        <f t="shared" si="10"/>
        <v>771.82808490887828</v>
      </c>
      <c r="K39" s="23">
        <f t="shared" si="10"/>
        <v>732.69640100399818</v>
      </c>
      <c r="L39" s="23">
        <f t="shared" si="10"/>
        <v>695.54869347309545</v>
      </c>
      <c r="M39" s="23">
        <f t="shared" si="10"/>
        <v>660.2148198446622</v>
      </c>
      <c r="N39" s="33">
        <f t="shared" si="10"/>
        <v>593.59914452233579</v>
      </c>
      <c r="O39" s="33">
        <f t="shared" si="10"/>
        <v>563.32558815169659</v>
      </c>
      <c r="P39" s="33">
        <f t="shared" si="10"/>
        <v>534.53965059714483</v>
      </c>
      <c r="Q39" s="33">
        <f t="shared" si="10"/>
        <v>507.11776652151133</v>
      </c>
      <c r="R39" s="33">
        <f t="shared" si="10"/>
        <v>481.05191332230567</v>
      </c>
      <c r="S39" s="33">
        <f t="shared" si="10"/>
        <v>456.27773978620695</v>
      </c>
      <c r="T39" s="33">
        <f t="shared" si="10"/>
        <v>432.68818063926005</v>
      </c>
      <c r="U39" s="33">
        <f t="shared" si="10"/>
        <v>410.2749328821464</v>
      </c>
      <c r="V39" s="33">
        <f t="shared" si="10"/>
        <v>388.98166386556301</v>
      </c>
      <c r="W39" s="33">
        <f t="shared" si="10"/>
        <v>368.71571917816715</v>
      </c>
      <c r="X39" s="33">
        <f t="shared" si="10"/>
        <v>349.431887065149</v>
      </c>
      <c r="Y39" s="34">
        <f t="shared" si="10"/>
        <v>-0.80369334024982209</v>
      </c>
      <c r="Z39" s="19"/>
    </row>
    <row r="40" spans="2:26" x14ac:dyDescent="0.3">
      <c r="C40" s="62"/>
    </row>
    <row r="41" spans="2:26" ht="27.6" x14ac:dyDescent="0.3">
      <c r="C41" s="81" t="s">
        <v>16</v>
      </c>
    </row>
    <row r="42" spans="2:26" x14ac:dyDescent="0.3">
      <c r="C42" s="102" t="s">
        <v>58</v>
      </c>
      <c r="D42" s="17"/>
      <c r="E42" s="18">
        <f>F8+NPV(Assumptions!D16,'Lapse Shock'!G8:Y8)</f>
        <v>2981000.6625720072</v>
      </c>
    </row>
    <row r="43" spans="2:26" x14ac:dyDescent="0.3">
      <c r="C43" s="112" t="s">
        <v>59</v>
      </c>
      <c r="D43" s="19"/>
      <c r="E43" s="22">
        <f>F10+NPV(Assumptions!D16,'Lapse Shock'!G10:Y10)</f>
        <v>-133550.03312860033</v>
      </c>
    </row>
    <row r="44" spans="2:26" x14ac:dyDescent="0.3">
      <c r="C44" s="112" t="s">
        <v>60</v>
      </c>
      <c r="D44" s="19"/>
      <c r="E44" s="22">
        <f>NPV(Assumptions!D16,F12:Y12)</f>
        <v>-231156.99926892118</v>
      </c>
    </row>
    <row r="45" spans="2:26" x14ac:dyDescent="0.3">
      <c r="C45" s="112" t="s">
        <v>62</v>
      </c>
      <c r="D45" s="19"/>
      <c r="E45" s="22">
        <f>NPV(Assumptions!D16,F15:Y15)</f>
        <v>-1658885.8623003138</v>
      </c>
    </row>
    <row r="46" spans="2:26" x14ac:dyDescent="0.3">
      <c r="C46" s="112" t="s">
        <v>61</v>
      </c>
      <c r="D46" s="19"/>
      <c r="E46" s="22">
        <f>F9+F11</f>
        <v>-288000</v>
      </c>
    </row>
    <row r="47" spans="2:26" x14ac:dyDescent="0.3">
      <c r="C47" s="112" t="s">
        <v>63</v>
      </c>
      <c r="D47" s="19"/>
      <c r="E47" s="27">
        <f>NPV(Assumptions!D16,F30:Y30)</f>
        <v>-165888.58623003133</v>
      </c>
    </row>
    <row r="48" spans="2:26" x14ac:dyDescent="0.3">
      <c r="C48" s="95" t="s">
        <v>12</v>
      </c>
      <c r="D48" s="19"/>
      <c r="E48" s="22">
        <f>SUM(E42:E47)</f>
        <v>503519.18164414086</v>
      </c>
    </row>
    <row r="49" spans="3:25" ht="28.2" x14ac:dyDescent="0.3">
      <c r="C49" s="84" t="s">
        <v>17</v>
      </c>
      <c r="D49" s="19"/>
      <c r="E49" s="22">
        <f>MAX(0,E48)</f>
        <v>503519.18164414086</v>
      </c>
    </row>
    <row r="50" spans="3:25" ht="27.6" x14ac:dyDescent="0.3">
      <c r="C50" s="85" t="s">
        <v>28</v>
      </c>
      <c r="D50" s="23"/>
      <c r="E50" s="24">
        <f>-E48+E49</f>
        <v>0</v>
      </c>
    </row>
    <row r="51" spans="3:25" x14ac:dyDescent="0.3">
      <c r="C51" s="6"/>
    </row>
    <row r="52" spans="3:25" ht="28.2" x14ac:dyDescent="0.3">
      <c r="C52" s="65" t="s">
        <v>64</v>
      </c>
    </row>
    <row r="53" spans="3:25" x14ac:dyDescent="0.3">
      <c r="C53" s="113" t="s">
        <v>65</v>
      </c>
      <c r="D53" s="17"/>
      <c r="E53" s="17"/>
      <c r="F53" s="17">
        <v>0</v>
      </c>
      <c r="G53" s="17">
        <f>F61</f>
        <v>-778304.07858913904</v>
      </c>
      <c r="H53" s="17">
        <f t="shared" ref="H53:X53" si="11">G61</f>
        <v>-618300.75373270467</v>
      </c>
      <c r="I53" s="17">
        <f t="shared" si="11"/>
        <v>-479565.32767721289</v>
      </c>
      <c r="J53" s="17">
        <f t="shared" si="11"/>
        <v>-343535.59111784375</v>
      </c>
      <c r="K53" s="17">
        <f t="shared" si="11"/>
        <v>-226162.17008791681</v>
      </c>
      <c r="L53" s="17">
        <f t="shared" si="11"/>
        <v>-126164.78505550713</v>
      </c>
      <c r="M53" s="17">
        <f t="shared" si="11"/>
        <v>-27696.028923882568</v>
      </c>
      <c r="N53" s="17">
        <f t="shared" si="11"/>
        <v>55552.275463579135</v>
      </c>
      <c r="O53" s="35">
        <f>N61</f>
        <v>118074.6541579372</v>
      </c>
      <c r="P53" s="35">
        <f t="shared" si="11"/>
        <v>171045.37879103015</v>
      </c>
      <c r="Q53" s="35">
        <f t="shared" si="11"/>
        <v>212407.7859846073</v>
      </c>
      <c r="R53" s="35">
        <f t="shared" si="11"/>
        <v>232279.10118869884</v>
      </c>
      <c r="S53" s="35">
        <f t="shared" si="11"/>
        <v>242219.37597739435</v>
      </c>
      <c r="T53" s="35">
        <f t="shared" si="11"/>
        <v>242902.85919909657</v>
      </c>
      <c r="U53" s="35">
        <f t="shared" si="11"/>
        <v>225826.34468681429</v>
      </c>
      <c r="V53" s="35">
        <f t="shared" si="11"/>
        <v>200798.18489436433</v>
      </c>
      <c r="W53" s="35">
        <f t="shared" si="11"/>
        <v>168327.7709160134</v>
      </c>
      <c r="X53" s="35">
        <f t="shared" si="11"/>
        <v>121101.34534122303</v>
      </c>
      <c r="Y53" s="36">
        <f>X61</f>
        <v>60048.525823349926</v>
      </c>
    </row>
    <row r="54" spans="3:25" ht="28.2" x14ac:dyDescent="0.3">
      <c r="C54" s="114" t="s">
        <v>27</v>
      </c>
      <c r="D54" s="19"/>
      <c r="E54" s="19"/>
      <c r="F54" s="19">
        <f>SUM(E42:E46)*-1</f>
        <v>-669407.76787417219</v>
      </c>
      <c r="G54" s="19">
        <v>0</v>
      </c>
      <c r="H54" s="19">
        <v>0</v>
      </c>
      <c r="I54" s="19">
        <v>0</v>
      </c>
      <c r="J54" s="19">
        <v>0</v>
      </c>
      <c r="K54" s="19">
        <v>0</v>
      </c>
      <c r="L54" s="19">
        <v>0</v>
      </c>
      <c r="M54" s="19">
        <v>0</v>
      </c>
      <c r="N54" s="19">
        <v>0</v>
      </c>
      <c r="O54" s="19">
        <v>0</v>
      </c>
      <c r="P54" s="19">
        <v>0</v>
      </c>
      <c r="Q54" s="19">
        <v>0</v>
      </c>
      <c r="R54" s="19">
        <v>0</v>
      </c>
      <c r="S54" s="19">
        <v>0</v>
      </c>
      <c r="T54" s="19">
        <v>0</v>
      </c>
      <c r="U54" s="19">
        <v>0</v>
      </c>
      <c r="V54" s="19">
        <v>0</v>
      </c>
      <c r="W54" s="19">
        <v>0</v>
      </c>
      <c r="X54" s="19">
        <v>0</v>
      </c>
      <c r="Y54" s="22">
        <v>0</v>
      </c>
    </row>
    <row r="55" spans="3:25" ht="28.2" x14ac:dyDescent="0.3">
      <c r="C55" s="114" t="s">
        <v>32</v>
      </c>
      <c r="D55" s="19"/>
      <c r="E55" s="19"/>
      <c r="F55" s="19">
        <v>0</v>
      </c>
      <c r="G55" s="19">
        <v>0</v>
      </c>
      <c r="H55" s="19">
        <v>0</v>
      </c>
      <c r="I55" s="19">
        <v>0</v>
      </c>
      <c r="J55" s="19">
        <v>0</v>
      </c>
      <c r="K55" s="19">
        <v>0</v>
      </c>
      <c r="L55" s="19">
        <v>0</v>
      </c>
      <c r="M55" s="19">
        <v>0</v>
      </c>
      <c r="N55" s="19">
        <v>0</v>
      </c>
      <c r="O55" s="19">
        <v>0</v>
      </c>
      <c r="P55" s="19">
        <v>0</v>
      </c>
      <c r="Q55" s="19">
        <v>0</v>
      </c>
      <c r="R55" s="19">
        <v>0</v>
      </c>
      <c r="S55" s="19">
        <v>0</v>
      </c>
      <c r="T55" s="19">
        <v>0</v>
      </c>
      <c r="U55" s="19">
        <v>0</v>
      </c>
      <c r="V55" s="19">
        <v>0</v>
      </c>
      <c r="W55" s="19">
        <v>0</v>
      </c>
      <c r="X55" s="19">
        <v>0</v>
      </c>
      <c r="Y55" s="22">
        <v>0</v>
      </c>
    </row>
    <row r="56" spans="3:25" ht="27.6" x14ac:dyDescent="0.3">
      <c r="C56" s="115" t="s">
        <v>30</v>
      </c>
      <c r="D56" s="19"/>
      <c r="E56" s="19"/>
      <c r="F56" s="19">
        <f>F8</f>
        <v>310000</v>
      </c>
      <c r="G56" s="19">
        <f>G8</f>
        <v>294376</v>
      </c>
      <c r="H56" s="19">
        <f t="shared" ref="H56:N56" si="12">H8</f>
        <v>279539.44959999999</v>
      </c>
      <c r="I56" s="19">
        <f t="shared" si="12"/>
        <v>265422.70739520004</v>
      </c>
      <c r="J56" s="19">
        <f t="shared" si="12"/>
        <v>252018.86067174241</v>
      </c>
      <c r="K56" s="19">
        <f t="shared" si="12"/>
        <v>239266.70632175228</v>
      </c>
      <c r="L56" s="19">
        <f t="shared" si="12"/>
        <v>227135.88431123944</v>
      </c>
      <c r="M56" s="19">
        <f t="shared" si="12"/>
        <v>215620.0949766596</v>
      </c>
      <c r="N56" s="19">
        <f t="shared" si="12"/>
        <v>204666.59415184529</v>
      </c>
      <c r="O56" s="29">
        <f>O19</f>
        <v>184015.73480192409</v>
      </c>
      <c r="P56" s="29">
        <f t="shared" ref="P56:Y56" si="13">P19</f>
        <v>174630.93232702595</v>
      </c>
      <c r="Q56" s="29">
        <f t="shared" si="13"/>
        <v>165707.29168511491</v>
      </c>
      <c r="R56" s="29">
        <f t="shared" si="13"/>
        <v>157206.50762166851</v>
      </c>
      <c r="S56" s="29">
        <f t="shared" si="13"/>
        <v>149126.09312991475</v>
      </c>
      <c r="T56" s="29">
        <f t="shared" si="13"/>
        <v>141446.09933372415</v>
      </c>
      <c r="U56" s="29">
        <f t="shared" si="13"/>
        <v>134133.33599817063</v>
      </c>
      <c r="V56" s="29">
        <f t="shared" si="13"/>
        <v>127185.22919346539</v>
      </c>
      <c r="W56" s="29">
        <f t="shared" si="13"/>
        <v>120584.31579832453</v>
      </c>
      <c r="X56" s="29">
        <f t="shared" si="13"/>
        <v>114301.87294523182</v>
      </c>
      <c r="Y56" s="32">
        <f t="shared" si="13"/>
        <v>108323.88499019619</v>
      </c>
    </row>
    <row r="57" spans="3:25" ht="28.2" x14ac:dyDescent="0.3">
      <c r="C57" s="114" t="s">
        <v>31</v>
      </c>
      <c r="D57" s="19"/>
      <c r="E57" s="19"/>
      <c r="F57" s="19">
        <f>SUM(F9:F12,F15)</f>
        <v>-393000</v>
      </c>
      <c r="G57" s="19">
        <f>SUM(G9:G12,G15)</f>
        <v>-114426.8</v>
      </c>
      <c r="H57" s="19">
        <f t="shared" ref="H57:N57" si="14">SUM(H9:H12,H15)</f>
        <v>-126694.49248000002</v>
      </c>
      <c r="I57" s="19">
        <f t="shared" si="14"/>
        <v>-120296.42060976001</v>
      </c>
      <c r="J57" s="19">
        <f t="shared" si="14"/>
        <v>-130480.73270262792</v>
      </c>
      <c r="K57" s="19">
        <f t="shared" si="14"/>
        <v>-139314.96932605252</v>
      </c>
      <c r="L57" s="19">
        <f t="shared" si="14"/>
        <v>-132251.70038122169</v>
      </c>
      <c r="M57" s="19">
        <f t="shared" si="14"/>
        <v>-139457.51304135565</v>
      </c>
      <c r="N57" s="19">
        <f t="shared" si="14"/>
        <v>-145577.36777574802</v>
      </c>
      <c r="O57" s="29">
        <f>SUM(O20:O23,O26)</f>
        <v>-142760.59425762176</v>
      </c>
      <c r="P57" s="29">
        <f t="shared" ref="P57:Y57" si="15">SUM(P20:P23,P26)</f>
        <v>-146746.31571351696</v>
      </c>
      <c r="Q57" s="29">
        <f t="shared" si="15"/>
        <v>-160629.16500444201</v>
      </c>
      <c r="R57" s="29">
        <f t="shared" si="15"/>
        <v>-162531.24417014437</v>
      </c>
      <c r="S57" s="29">
        <f t="shared" si="15"/>
        <v>-163798.17648624509</v>
      </c>
      <c r="T57" s="29">
        <f t="shared" si="15"/>
        <v>-173613.67998865177</v>
      </c>
      <c r="U57" s="29">
        <f t="shared" si="15"/>
        <v>-173291.61634602363</v>
      </c>
      <c r="V57" s="29">
        <f t="shared" si="15"/>
        <v>-172520.60927694256</v>
      </c>
      <c r="W57" s="29">
        <f t="shared" si="15"/>
        <v>-179126.05621009177</v>
      </c>
      <c r="X57" s="29">
        <f t="shared" si="15"/>
        <v>-184542.21744867266</v>
      </c>
      <c r="Y57" s="32">
        <f t="shared" si="15"/>
        <v>-174890.65947610707</v>
      </c>
    </row>
    <row r="58" spans="3:25" ht="27.6" x14ac:dyDescent="0.3">
      <c r="C58" s="115" t="s">
        <v>29</v>
      </c>
      <c r="D58" s="19"/>
      <c r="E58" s="19"/>
      <c r="F58" s="19">
        <f>(F53+F54)*Assumptions!D16+SUM(F8:F11)*Assumptions!D16</f>
        <v>-25896.310714966887</v>
      </c>
      <c r="G58" s="19">
        <f>(G53+G54)*Assumptions!E16+SUM(G8:G11)*Assumptions!E16</f>
        <v>-19945.875143565561</v>
      </c>
      <c r="H58" s="19">
        <f>(H53+H54)*Assumptions!F16+SUM(H8:H11)*Assumptions!F16</f>
        <v>-14109.531064508186</v>
      </c>
      <c r="I58" s="19">
        <f>(I53+I54)*Assumptions!G16+SUM(I8:I11)*Assumptions!G16</f>
        <v>-9096.5502260709163</v>
      </c>
      <c r="J58" s="19">
        <f>(J53+J54)*Assumptions!H16+SUM(J8:J11)*Assumptions!H16</f>
        <v>-4164.7069391875393</v>
      </c>
      <c r="K58" s="19">
        <f>(K53+K54)*Assumptions!I16+SUM(K8:K11)*Assumptions!I16</f>
        <v>45.648036709913868</v>
      </c>
      <c r="L58" s="19">
        <f>(L53+L54)*Assumptions!J16+SUM(L8:L11)*Assumptions!J16</f>
        <v>3584.5722016068139</v>
      </c>
      <c r="M58" s="19">
        <f>(M53+M54)*Assumptions!K16+SUM(M8:M11)*Assumptions!K16</f>
        <v>7085.7224521577627</v>
      </c>
      <c r="N58" s="19">
        <f>(N53+N54)*Assumptions!L16+SUM(N8:N11)*Assumptions!L16</f>
        <v>9999.4215963132865</v>
      </c>
      <c r="O58" s="29">
        <f>(O53+O54)*Assumptions!M16+SUM(O19:O22)*Assumptions!M16</f>
        <v>11715.584088790603</v>
      </c>
      <c r="P58" s="29">
        <f>(P53+P54)*Assumptions!N16+SUM(P19:P22)*Assumptions!N16</f>
        <v>13477.790580068193</v>
      </c>
      <c r="Q58" s="29">
        <f>(Q53+Q54)*Assumptions!O16+SUM(Q19:Q22)*Assumptions!O16</f>
        <v>14793.188523418659</v>
      </c>
      <c r="R58" s="29">
        <f>(R53+R54)*Assumptions!P16+SUM(R19:R22)*Assumptions!P16</f>
        <v>15265.01133717136</v>
      </c>
      <c r="S58" s="29">
        <f>(S53+S54)*Assumptions!Q16+SUM(S19:S22)*Assumptions!Q16</f>
        <v>15355.566578032533</v>
      </c>
      <c r="T58" s="29">
        <f>(T53+T54)*Assumptions!R16+SUM(T19:T22)*Assumptions!R16</f>
        <v>15091.066142645381</v>
      </c>
      <c r="U58" s="29">
        <f>(U53+U54)*Assumptions!S16+SUM(U19:U22)*Assumptions!S16</f>
        <v>14130.120555403057</v>
      </c>
      <c r="V58" s="29">
        <f>(V53+V54)*Assumptions!T16+SUM(V19:V22)*Assumptions!T16</f>
        <v>12864.966105126259</v>
      </c>
      <c r="W58" s="29">
        <f>(W53+W54)*Assumptions!U16+SUM(W19:W22)*Assumptions!U16</f>
        <v>11315.314836976868</v>
      </c>
      <c r="X58" s="29">
        <f>(X53+X54)*Assumptions!V16+SUM(X19:X22)*Assumptions!V16</f>
        <v>9187.5249855677321</v>
      </c>
      <c r="Y58" s="32">
        <f>(Y53+Y54)*Assumptions!W16+SUM(Y19:Y22)*Assumptions!W16</f>
        <v>6518.2486625614529</v>
      </c>
    </row>
    <row r="59" spans="3:25" ht="27.6" x14ac:dyDescent="0.3">
      <c r="C59" s="115" t="s">
        <v>18</v>
      </c>
      <c r="D59" s="19"/>
      <c r="E59" s="19"/>
      <c r="F59" s="19">
        <v>0</v>
      </c>
      <c r="G59" s="19">
        <v>0</v>
      </c>
      <c r="H59" s="19">
        <v>0</v>
      </c>
      <c r="I59" s="19">
        <v>0</v>
      </c>
      <c r="J59" s="19">
        <v>0</v>
      </c>
      <c r="K59" s="19">
        <v>0</v>
      </c>
      <c r="L59" s="19">
        <v>0</v>
      </c>
      <c r="M59" s="19">
        <v>0</v>
      </c>
      <c r="N59" s="29">
        <f>(NPV(Assumptions!L16,P19:Z19)+O19+NPV(Assumptions!L16,P21:Z21)+O21+NPV(Assumptions!L16,O23:Z23)+NPV(Assumptions!L16,O26:Z26))*-1-(NPV(Assumptions!L16,P8:Z8)+O8+NPV(Assumptions!L16,P10:Z10)+O10+NPV(Assumptions!L16,O12:Z12)+NPV(Assumptions!L16,O15:Z15))*-1</f>
        <v>-6566.2692780524958</v>
      </c>
      <c r="O59" s="19">
        <v>0</v>
      </c>
      <c r="P59" s="19">
        <v>0</v>
      </c>
      <c r="Q59" s="19">
        <v>0</v>
      </c>
      <c r="R59" s="19">
        <v>0</v>
      </c>
      <c r="S59" s="19">
        <v>0</v>
      </c>
      <c r="T59" s="19">
        <v>0</v>
      </c>
      <c r="U59" s="19">
        <v>0</v>
      </c>
      <c r="V59" s="19">
        <v>0</v>
      </c>
      <c r="W59" s="19">
        <v>0</v>
      </c>
      <c r="X59" s="19">
        <v>0</v>
      </c>
      <c r="Y59" s="22">
        <v>0</v>
      </c>
    </row>
    <row r="60" spans="3:25" ht="28.2" x14ac:dyDescent="0.3">
      <c r="C60" s="114" t="s">
        <v>33</v>
      </c>
      <c r="D60" s="19"/>
      <c r="E60" s="19"/>
      <c r="F60" s="19">
        <v>0</v>
      </c>
      <c r="G60" s="19">
        <v>0</v>
      </c>
      <c r="H60" s="19">
        <v>0</v>
      </c>
      <c r="I60" s="19">
        <v>0</v>
      </c>
      <c r="J60" s="19">
        <v>0</v>
      </c>
      <c r="K60" s="19">
        <v>0</v>
      </c>
      <c r="L60" s="19">
        <v>0</v>
      </c>
      <c r="M60" s="19">
        <v>0</v>
      </c>
      <c r="N60" s="19">
        <v>0</v>
      </c>
      <c r="O60" s="19">
        <v>0</v>
      </c>
      <c r="P60" s="19">
        <v>0</v>
      </c>
      <c r="Q60" s="19">
        <v>0</v>
      </c>
      <c r="R60" s="19">
        <v>0</v>
      </c>
      <c r="S60" s="19">
        <v>0</v>
      </c>
      <c r="T60" s="19">
        <v>0</v>
      </c>
      <c r="U60" s="19">
        <v>0</v>
      </c>
      <c r="V60" s="19">
        <v>0</v>
      </c>
      <c r="W60" s="19">
        <v>0</v>
      </c>
      <c r="X60" s="19">
        <v>0</v>
      </c>
      <c r="Y60" s="22">
        <v>0</v>
      </c>
    </row>
    <row r="61" spans="3:25" x14ac:dyDescent="0.3">
      <c r="C61" s="116" t="s">
        <v>66</v>
      </c>
      <c r="D61" s="23"/>
      <c r="E61" s="23"/>
      <c r="F61" s="23">
        <f>SUM(F53:F60)</f>
        <v>-778304.07858913904</v>
      </c>
      <c r="G61" s="23">
        <f>SUM(G53:G60)</f>
        <v>-618300.75373270467</v>
      </c>
      <c r="H61" s="23">
        <f t="shared" ref="H61:Y61" si="16">SUM(H53:H60)</f>
        <v>-479565.32767721289</v>
      </c>
      <c r="I61" s="23">
        <f t="shared" si="16"/>
        <v>-343535.59111784375</v>
      </c>
      <c r="J61" s="23">
        <f t="shared" si="16"/>
        <v>-226162.17008791681</v>
      </c>
      <c r="K61" s="23">
        <f t="shared" si="16"/>
        <v>-126164.78505550713</v>
      </c>
      <c r="L61" s="23">
        <f t="shared" si="16"/>
        <v>-27696.028923882568</v>
      </c>
      <c r="M61" s="23">
        <f t="shared" si="16"/>
        <v>55552.275463579135</v>
      </c>
      <c r="N61" s="33">
        <f>SUM(N53:N60)</f>
        <v>118074.6541579372</v>
      </c>
      <c r="O61" s="33">
        <f t="shared" si="16"/>
        <v>171045.37879103015</v>
      </c>
      <c r="P61" s="33">
        <f t="shared" si="16"/>
        <v>212407.7859846073</v>
      </c>
      <c r="Q61" s="33">
        <f t="shared" si="16"/>
        <v>232279.10118869884</v>
      </c>
      <c r="R61" s="33">
        <f t="shared" si="16"/>
        <v>242219.37597739435</v>
      </c>
      <c r="S61" s="33">
        <f t="shared" si="16"/>
        <v>242902.85919909657</v>
      </c>
      <c r="T61" s="33">
        <f t="shared" si="16"/>
        <v>225826.34468681429</v>
      </c>
      <c r="U61" s="33">
        <f t="shared" si="16"/>
        <v>200798.18489436433</v>
      </c>
      <c r="V61" s="33">
        <f t="shared" si="16"/>
        <v>168327.7709160134</v>
      </c>
      <c r="W61" s="33">
        <f t="shared" si="16"/>
        <v>121101.34534122303</v>
      </c>
      <c r="X61" s="33">
        <f t="shared" si="16"/>
        <v>60048.525823349926</v>
      </c>
      <c r="Y61" s="34">
        <f t="shared" si="16"/>
        <v>5.0749804358929396E-10</v>
      </c>
    </row>
    <row r="62" spans="3:25" x14ac:dyDescent="0.3">
      <c r="C62" s="6"/>
    </row>
    <row r="63" spans="3:25" ht="28.2" x14ac:dyDescent="0.3">
      <c r="C63" s="107" t="s">
        <v>23</v>
      </c>
    </row>
    <row r="64" spans="3:25" ht="28.2" x14ac:dyDescent="0.3">
      <c r="C64" s="117" t="s">
        <v>37</v>
      </c>
      <c r="D64" s="17"/>
      <c r="E64" s="17"/>
      <c r="F64" s="17">
        <v>0</v>
      </c>
      <c r="G64" s="17">
        <f>F72</f>
        <v>164524.12967923257</v>
      </c>
      <c r="H64" s="17">
        <f t="shared" ref="H64:Y64" si="17">G72</f>
        <v>163508.29486640188</v>
      </c>
      <c r="I64" s="17">
        <f t="shared" si="17"/>
        <v>161031.22506105795</v>
      </c>
      <c r="J64" s="17">
        <f t="shared" si="17"/>
        <v>158910.45124430026</v>
      </c>
      <c r="K64" s="17">
        <f t="shared" si="17"/>
        <v>155511.30049387578</v>
      </c>
      <c r="L64" s="17">
        <f t="shared" si="17"/>
        <v>150926.1593249065</v>
      </c>
      <c r="M64" s="17">
        <f t="shared" si="17"/>
        <v>146705.4560838468</v>
      </c>
      <c r="N64" s="17">
        <f t="shared" si="17"/>
        <v>141444.89523163115</v>
      </c>
      <c r="O64" s="35">
        <f t="shared" si="17"/>
        <v>128095.29545197329</v>
      </c>
      <c r="P64" s="35">
        <f t="shared" si="17"/>
        <v>121347.12437960551</v>
      </c>
      <c r="Q64" s="35">
        <f t="shared" si="17"/>
        <v>113807.8464154524</v>
      </c>
      <c r="R64" s="35">
        <f t="shared" si="17"/>
        <v>104462.12935654473</v>
      </c>
      <c r="S64" s="35">
        <f t="shared" si="17"/>
        <v>94441.317068204196</v>
      </c>
      <c r="T64" s="35">
        <f t="shared" si="17"/>
        <v>83787.412351263192</v>
      </c>
      <c r="U64" s="35">
        <f t="shared" si="17"/>
        <v>71625.465692582686</v>
      </c>
      <c r="V64" s="35">
        <f t="shared" si="17"/>
        <v>58913.709817272633</v>
      </c>
      <c r="W64" s="35">
        <f t="shared" si="17"/>
        <v>45679.810760441978</v>
      </c>
      <c r="X64" s="35">
        <f t="shared" si="17"/>
        <v>31169.77330850601</v>
      </c>
      <c r="Y64" s="36">
        <f t="shared" si="17"/>
        <v>15455.641158650564</v>
      </c>
    </row>
    <row r="65" spans="3:25" ht="28.2" x14ac:dyDescent="0.3">
      <c r="C65" s="118" t="s">
        <v>27</v>
      </c>
      <c r="D65" s="19"/>
      <c r="E65" s="19"/>
      <c r="F65" s="19">
        <f>-E47</f>
        <v>165888.58623003133</v>
      </c>
      <c r="G65" s="19">
        <v>0</v>
      </c>
      <c r="H65" s="19">
        <v>0</v>
      </c>
      <c r="I65" s="19">
        <v>0</v>
      </c>
      <c r="J65" s="19">
        <v>0</v>
      </c>
      <c r="K65" s="19">
        <v>0</v>
      </c>
      <c r="L65" s="19">
        <v>0</v>
      </c>
      <c r="M65" s="19">
        <v>0</v>
      </c>
      <c r="N65" s="19">
        <v>0</v>
      </c>
      <c r="O65" s="19">
        <v>0</v>
      </c>
      <c r="P65" s="19">
        <v>0</v>
      </c>
      <c r="Q65" s="19">
        <v>0</v>
      </c>
      <c r="R65" s="19">
        <v>0</v>
      </c>
      <c r="S65" s="19">
        <v>0</v>
      </c>
      <c r="T65" s="19">
        <v>0</v>
      </c>
      <c r="U65" s="19">
        <v>0</v>
      </c>
      <c r="V65" s="19">
        <v>0</v>
      </c>
      <c r="W65" s="19">
        <v>0</v>
      </c>
      <c r="X65" s="19">
        <v>0</v>
      </c>
      <c r="Y65" s="22">
        <v>0</v>
      </c>
    </row>
    <row r="66" spans="3:25" ht="28.2" x14ac:dyDescent="0.3">
      <c r="C66" s="119" t="s">
        <v>32</v>
      </c>
      <c r="D66" s="19"/>
      <c r="E66" s="19"/>
      <c r="F66" s="19">
        <v>0</v>
      </c>
      <c r="G66" s="19">
        <v>0</v>
      </c>
      <c r="H66" s="19">
        <v>0</v>
      </c>
      <c r="I66" s="19">
        <v>0</v>
      </c>
      <c r="J66" s="19">
        <v>0</v>
      </c>
      <c r="K66" s="19">
        <v>0</v>
      </c>
      <c r="L66" s="19">
        <v>0</v>
      </c>
      <c r="M66" s="19">
        <v>0</v>
      </c>
      <c r="N66" s="19">
        <v>0</v>
      </c>
      <c r="O66" s="19">
        <v>0</v>
      </c>
      <c r="P66" s="19">
        <v>0</v>
      </c>
      <c r="Q66" s="19">
        <v>0</v>
      </c>
      <c r="R66" s="19">
        <v>0</v>
      </c>
      <c r="S66" s="19">
        <v>0</v>
      </c>
      <c r="T66" s="19">
        <v>0</v>
      </c>
      <c r="U66" s="19">
        <v>0</v>
      </c>
      <c r="V66" s="19">
        <v>0</v>
      </c>
      <c r="W66" s="19">
        <v>0</v>
      </c>
      <c r="X66" s="19">
        <v>0</v>
      </c>
      <c r="Y66" s="22">
        <v>0</v>
      </c>
    </row>
    <row r="67" spans="3:25" ht="27.6" x14ac:dyDescent="0.3">
      <c r="C67" s="120" t="s">
        <v>30</v>
      </c>
      <c r="D67" s="19"/>
      <c r="E67" s="19"/>
      <c r="F67" s="19">
        <v>0</v>
      </c>
      <c r="G67" s="19">
        <v>0</v>
      </c>
      <c r="H67" s="19">
        <v>0</v>
      </c>
      <c r="I67" s="19">
        <v>0</v>
      </c>
      <c r="J67" s="19">
        <v>0</v>
      </c>
      <c r="K67" s="19">
        <v>0</v>
      </c>
      <c r="L67" s="19">
        <v>0</v>
      </c>
      <c r="M67" s="19">
        <v>0</v>
      </c>
      <c r="N67" s="19">
        <v>0</v>
      </c>
      <c r="O67" s="19">
        <v>0</v>
      </c>
      <c r="P67" s="19">
        <v>0</v>
      </c>
      <c r="Q67" s="19">
        <v>0</v>
      </c>
      <c r="R67" s="19">
        <v>0</v>
      </c>
      <c r="S67" s="19">
        <v>0</v>
      </c>
      <c r="T67" s="19">
        <v>0</v>
      </c>
      <c r="U67" s="19">
        <v>0</v>
      </c>
      <c r="V67" s="19">
        <v>0</v>
      </c>
      <c r="W67" s="19">
        <v>0</v>
      </c>
      <c r="X67" s="19">
        <v>0</v>
      </c>
      <c r="Y67" s="22">
        <v>0</v>
      </c>
    </row>
    <row r="68" spans="3:25" ht="28.2" x14ac:dyDescent="0.3">
      <c r="C68" s="119" t="s">
        <v>31</v>
      </c>
      <c r="D68" s="19"/>
      <c r="E68" s="19"/>
      <c r="F68" s="19">
        <v>0</v>
      </c>
      <c r="G68" s="19">
        <v>0</v>
      </c>
      <c r="H68" s="19">
        <v>0</v>
      </c>
      <c r="I68" s="19">
        <v>0</v>
      </c>
      <c r="J68" s="19">
        <v>0</v>
      </c>
      <c r="K68" s="19">
        <v>0</v>
      </c>
      <c r="L68" s="19">
        <v>0</v>
      </c>
      <c r="M68" s="19">
        <v>0</v>
      </c>
      <c r="N68" s="19">
        <v>0</v>
      </c>
      <c r="O68" s="19">
        <v>0</v>
      </c>
      <c r="P68" s="19">
        <v>0</v>
      </c>
      <c r="Q68" s="19">
        <v>0</v>
      </c>
      <c r="R68" s="19">
        <v>0</v>
      </c>
      <c r="S68" s="19">
        <v>0</v>
      </c>
      <c r="T68" s="19">
        <v>0</v>
      </c>
      <c r="U68" s="19">
        <v>0</v>
      </c>
      <c r="V68" s="19">
        <v>0</v>
      </c>
      <c r="W68" s="19">
        <v>0</v>
      </c>
      <c r="X68" s="19">
        <v>0</v>
      </c>
      <c r="Y68" s="22">
        <v>0</v>
      </c>
    </row>
    <row r="69" spans="3:25" ht="27.6" x14ac:dyDescent="0.3">
      <c r="C69" s="120" t="s">
        <v>29</v>
      </c>
      <c r="D69" s="19"/>
      <c r="E69" s="19"/>
      <c r="F69" s="19">
        <f>(F64+F65)*Assumptions!D16</f>
        <v>6635.5434492012537</v>
      </c>
      <c r="G69" s="19">
        <f>(G64+G65)*Assumptions!E16</f>
        <v>6580.9651871693031</v>
      </c>
      <c r="H69" s="19">
        <f>(H64+H65)*Assumptions!F16</f>
        <v>6540.3317946560755</v>
      </c>
      <c r="I69" s="19">
        <f>(I64+I65)*Assumptions!G16</f>
        <v>6441.2490024423178</v>
      </c>
      <c r="J69" s="19">
        <f>(J64+J65)*Assumptions!H16</f>
        <v>6356.4180497720108</v>
      </c>
      <c r="K69" s="19">
        <f>(K64+K65)*Assumptions!I16</f>
        <v>6220.452019755031</v>
      </c>
      <c r="L69" s="19">
        <f>(L64+L65)*Assumptions!J16</f>
        <v>6037.0463729962603</v>
      </c>
      <c r="M69" s="19">
        <f>(M64+M65)*Assumptions!K16</f>
        <v>5868.2182433538719</v>
      </c>
      <c r="N69" s="19">
        <f>(N64+N65)*Assumptions!L16</f>
        <v>5657.7958092652461</v>
      </c>
      <c r="O69" s="29">
        <f>(O64+O65)*Assumptions!M16</f>
        <v>5123.8118180789315</v>
      </c>
      <c r="P69" s="29">
        <f>(P64+P65)*Assumptions!N16</f>
        <v>4853.8849751842199</v>
      </c>
      <c r="Q69" s="29">
        <f>(Q64+Q65)*Assumptions!O16</f>
        <v>4552.313856618096</v>
      </c>
      <c r="R69" s="29">
        <f>(R64+R65)*Assumptions!P16</f>
        <v>4178.4851742617893</v>
      </c>
      <c r="S69" s="29">
        <f>(S64+S65)*Assumptions!Q16</f>
        <v>3777.6526827281677</v>
      </c>
      <c r="T69" s="29">
        <f>(T64+T65)*Assumptions!R16</f>
        <v>3351.4964940505279</v>
      </c>
      <c r="U69" s="29">
        <f>(U64+U65)*Assumptions!S16</f>
        <v>2865.0186277033076</v>
      </c>
      <c r="V69" s="29">
        <f>(V64+V65)*Assumptions!T16</f>
        <v>2356.5483926909055</v>
      </c>
      <c r="W69" s="29">
        <f>(W64+W65)*Assumptions!U16</f>
        <v>1827.1924304176791</v>
      </c>
      <c r="X69" s="29">
        <f>(X64+X65)*Assumptions!V16</f>
        <v>1246.7909323402405</v>
      </c>
      <c r="Y69" s="32">
        <f>(Y64+Y65)*Assumptions!W16</f>
        <v>618.22564634602259</v>
      </c>
    </row>
    <row r="70" spans="3:25" ht="27.6" x14ac:dyDescent="0.3">
      <c r="C70" s="120" t="s">
        <v>18</v>
      </c>
      <c r="D70" s="19"/>
      <c r="E70" s="19"/>
      <c r="F70" s="19">
        <v>0</v>
      </c>
      <c r="G70" s="19">
        <v>0</v>
      </c>
      <c r="H70" s="19">
        <v>0</v>
      </c>
      <c r="I70" s="19">
        <v>0</v>
      </c>
      <c r="J70" s="19">
        <v>0</v>
      </c>
      <c r="K70" s="19">
        <v>0</v>
      </c>
      <c r="L70" s="19">
        <v>0</v>
      </c>
      <c r="M70" s="19">
        <v>0</v>
      </c>
      <c r="N70" s="29">
        <f>NPV(Assumptions!L16,O33:Y33)*-1-NPV(Assumptions!L16,O30:Y30)*-1</f>
        <v>-7123.528831719188</v>
      </c>
      <c r="O70" s="19">
        <v>0</v>
      </c>
      <c r="P70" s="19">
        <v>0</v>
      </c>
      <c r="Q70" s="19">
        <v>0</v>
      </c>
      <c r="R70" s="19">
        <v>0</v>
      </c>
      <c r="S70" s="19">
        <v>0</v>
      </c>
      <c r="T70" s="19">
        <v>0</v>
      </c>
      <c r="U70" s="19">
        <v>0</v>
      </c>
      <c r="V70" s="19">
        <v>0</v>
      </c>
      <c r="W70" s="19">
        <v>0</v>
      </c>
      <c r="X70" s="19">
        <v>0</v>
      </c>
      <c r="Y70" s="22">
        <v>0</v>
      </c>
    </row>
    <row r="71" spans="3:25" ht="28.2" x14ac:dyDescent="0.3">
      <c r="C71" s="119" t="s">
        <v>33</v>
      </c>
      <c r="D71" s="19"/>
      <c r="E71" s="19"/>
      <c r="F71" s="19">
        <f>F30</f>
        <v>-8000</v>
      </c>
      <c r="G71" s="19">
        <f>G30</f>
        <v>-7596.8</v>
      </c>
      <c r="H71" s="19">
        <f t="shared" ref="H71:M71" si="18">H30</f>
        <v>-9017.4016000000029</v>
      </c>
      <c r="I71" s="19">
        <f t="shared" si="18"/>
        <v>-8562.0228192000013</v>
      </c>
      <c r="J71" s="19">
        <f t="shared" si="18"/>
        <v>-9755.5688001964809</v>
      </c>
      <c r="K71" s="19">
        <f t="shared" si="18"/>
        <v>-10805.593188724297</v>
      </c>
      <c r="L71" s="19">
        <f t="shared" si="18"/>
        <v>-10257.749614055976</v>
      </c>
      <c r="M71" s="19">
        <f t="shared" si="18"/>
        <v>-11128.779095569529</v>
      </c>
      <c r="N71" s="19">
        <f>N30</f>
        <v>-11883.866757203921</v>
      </c>
      <c r="O71" s="29">
        <f>O33</f>
        <v>-11871.982890446716</v>
      </c>
      <c r="P71" s="29">
        <f t="shared" ref="P71:Y71" si="19">P33</f>
        <v>-12393.162939337326</v>
      </c>
      <c r="Q71" s="29">
        <f t="shared" si="19"/>
        <v>-13898.030915525766</v>
      </c>
      <c r="R71" s="29">
        <f t="shared" si="19"/>
        <v>-14199.297462602319</v>
      </c>
      <c r="S71" s="29">
        <f t="shared" si="19"/>
        <v>-14431.557399669171</v>
      </c>
      <c r="T71" s="29">
        <f t="shared" si="19"/>
        <v>-15513.443152731037</v>
      </c>
      <c r="U71" s="29">
        <f t="shared" si="19"/>
        <v>-15576.774503013361</v>
      </c>
      <c r="V71" s="29">
        <f t="shared" si="19"/>
        <v>-15590.447449521564</v>
      </c>
      <c r="W71" s="29">
        <f t="shared" si="19"/>
        <v>-16337.229882353648</v>
      </c>
      <c r="X71" s="29">
        <f t="shared" si="19"/>
        <v>-16960.923082195688</v>
      </c>
      <c r="Y71" s="32">
        <f t="shared" si="19"/>
        <v>-16073.866804996855</v>
      </c>
    </row>
    <row r="72" spans="3:25" ht="28.2" x14ac:dyDescent="0.3">
      <c r="C72" s="121" t="s">
        <v>38</v>
      </c>
      <c r="D72" s="23"/>
      <c r="E72" s="23"/>
      <c r="F72" s="23">
        <f>SUM(F64:F71)</f>
        <v>164524.12967923257</v>
      </c>
      <c r="G72" s="23">
        <f>SUM(G64:G71)</f>
        <v>163508.29486640188</v>
      </c>
      <c r="H72" s="23">
        <f t="shared" ref="H72:Y72" si="20">SUM(H64:H71)</f>
        <v>161031.22506105795</v>
      </c>
      <c r="I72" s="23">
        <f t="shared" si="20"/>
        <v>158910.45124430026</v>
      </c>
      <c r="J72" s="23">
        <f t="shared" si="20"/>
        <v>155511.30049387578</v>
      </c>
      <c r="K72" s="23">
        <f t="shared" si="20"/>
        <v>150926.1593249065</v>
      </c>
      <c r="L72" s="23">
        <f t="shared" si="20"/>
        <v>146705.4560838468</v>
      </c>
      <c r="M72" s="23">
        <f t="shared" si="20"/>
        <v>141444.89523163115</v>
      </c>
      <c r="N72" s="33">
        <f t="shared" si="20"/>
        <v>128095.29545197329</v>
      </c>
      <c r="O72" s="33">
        <f t="shared" si="20"/>
        <v>121347.12437960551</v>
      </c>
      <c r="P72" s="33">
        <f t="shared" si="20"/>
        <v>113807.8464154524</v>
      </c>
      <c r="Q72" s="33">
        <f t="shared" si="20"/>
        <v>104462.12935654473</v>
      </c>
      <c r="R72" s="33">
        <f t="shared" si="20"/>
        <v>94441.317068204196</v>
      </c>
      <c r="S72" s="33">
        <f t="shared" si="20"/>
        <v>83787.412351263192</v>
      </c>
      <c r="T72" s="33">
        <f t="shared" si="20"/>
        <v>71625.465692582686</v>
      </c>
      <c r="U72" s="33">
        <f t="shared" si="20"/>
        <v>58913.709817272633</v>
      </c>
      <c r="V72" s="33">
        <f t="shared" si="20"/>
        <v>45679.810760441978</v>
      </c>
      <c r="W72" s="33">
        <f t="shared" si="20"/>
        <v>31169.77330850601</v>
      </c>
      <c r="X72" s="33">
        <f t="shared" si="20"/>
        <v>15455.641158650564</v>
      </c>
      <c r="Y72" s="34">
        <f t="shared" si="20"/>
        <v>-2.6921043172478676E-10</v>
      </c>
    </row>
    <row r="73" spans="3:25" x14ac:dyDescent="0.3">
      <c r="C73" s="6"/>
    </row>
    <row r="74" spans="3:25" ht="28.2" x14ac:dyDescent="0.3">
      <c r="C74" s="107" t="s">
        <v>71</v>
      </c>
    </row>
    <row r="75" spans="3:25" x14ac:dyDescent="0.3">
      <c r="C75" s="122" t="s">
        <v>69</v>
      </c>
      <c r="D75" s="17"/>
      <c r="E75" s="17"/>
      <c r="F75" s="17">
        <v>0</v>
      </c>
      <c r="G75" s="17">
        <f>F83</f>
        <v>482587.41204315668</v>
      </c>
      <c r="H75" s="17">
        <f t="shared" ref="H75:Y75" si="21">G83</f>
        <v>461328.32827587076</v>
      </c>
      <c r="I75" s="17">
        <f t="shared" si="21"/>
        <v>439722.50615426514</v>
      </c>
      <c r="J75" s="17">
        <f t="shared" si="21"/>
        <v>417753.98926755827</v>
      </c>
      <c r="K75" s="17">
        <f t="shared" si="21"/>
        <v>395401.99056788679</v>
      </c>
      <c r="L75" s="17">
        <f t="shared" si="21"/>
        <v>372649.03260623367</v>
      </c>
      <c r="M75" s="17">
        <f t="shared" si="21"/>
        <v>349476.86303648824</v>
      </c>
      <c r="N75" s="17">
        <f t="shared" si="21"/>
        <v>325862.46513371717</v>
      </c>
      <c r="O75" s="35">
        <f t="shared" si="21"/>
        <v>312076.12255796796</v>
      </c>
      <c r="P75" s="35">
        <f t="shared" si="21"/>
        <v>286679.12704240903</v>
      </c>
      <c r="Q75" s="35">
        <f t="shared" si="21"/>
        <v>260760.20743327687</v>
      </c>
      <c r="R75" s="35">
        <f t="shared" si="21"/>
        <v>234295.93373695566</v>
      </c>
      <c r="S75" s="35">
        <f t="shared" si="21"/>
        <v>207265.70688676083</v>
      </c>
      <c r="T75" s="35">
        <f t="shared" si="21"/>
        <v>179644.09713842903</v>
      </c>
      <c r="U75" s="35">
        <f t="shared" si="21"/>
        <v>151404.59294776671</v>
      </c>
      <c r="V75" s="35">
        <f t="shared" si="21"/>
        <v>122523.24368035101</v>
      </c>
      <c r="W75" s="35">
        <f t="shared" si="21"/>
        <v>92971.293899811149</v>
      </c>
      <c r="X75" s="35">
        <f t="shared" si="21"/>
        <v>62718.779572329579</v>
      </c>
      <c r="Y75" s="36">
        <f t="shared" si="21"/>
        <v>31738.014528276741</v>
      </c>
    </row>
    <row r="76" spans="3:25" ht="28.2" x14ac:dyDescent="0.3">
      <c r="C76" s="118" t="s">
        <v>27</v>
      </c>
      <c r="D76" s="19"/>
      <c r="E76" s="19"/>
      <c r="F76" s="19">
        <f>E49</f>
        <v>503519.18164414086</v>
      </c>
      <c r="G76" s="19">
        <v>0</v>
      </c>
      <c r="H76" s="19">
        <v>0</v>
      </c>
      <c r="I76" s="19">
        <v>0</v>
      </c>
      <c r="J76" s="19">
        <v>0</v>
      </c>
      <c r="K76" s="19">
        <v>0</v>
      </c>
      <c r="L76" s="19">
        <v>0</v>
      </c>
      <c r="M76" s="19">
        <v>0</v>
      </c>
      <c r="N76" s="19">
        <v>0</v>
      </c>
      <c r="O76" s="19">
        <v>0</v>
      </c>
      <c r="P76" s="19">
        <v>0</v>
      </c>
      <c r="Q76" s="19">
        <v>0</v>
      </c>
      <c r="R76" s="19">
        <v>0</v>
      </c>
      <c r="S76" s="19">
        <v>0</v>
      </c>
      <c r="T76" s="19">
        <v>0</v>
      </c>
      <c r="U76" s="19">
        <v>0</v>
      </c>
      <c r="V76" s="19">
        <v>0</v>
      </c>
      <c r="W76" s="19">
        <v>0</v>
      </c>
      <c r="X76" s="19">
        <v>0</v>
      </c>
      <c r="Y76" s="22">
        <v>0</v>
      </c>
    </row>
    <row r="77" spans="3:25" ht="28.2" x14ac:dyDescent="0.3">
      <c r="C77" s="119" t="s">
        <v>32</v>
      </c>
      <c r="D77" s="19"/>
      <c r="E77" s="19"/>
      <c r="F77" s="19">
        <v>0</v>
      </c>
      <c r="G77" s="19">
        <v>0</v>
      </c>
      <c r="H77" s="19">
        <v>0</v>
      </c>
      <c r="I77" s="19">
        <v>0</v>
      </c>
      <c r="J77" s="19">
        <v>0</v>
      </c>
      <c r="K77" s="19">
        <v>0</v>
      </c>
      <c r="L77" s="19">
        <v>0</v>
      </c>
      <c r="M77" s="19">
        <v>0</v>
      </c>
      <c r="N77" s="19">
        <v>0</v>
      </c>
      <c r="O77" s="19">
        <v>0</v>
      </c>
      <c r="P77" s="19">
        <v>0</v>
      </c>
      <c r="Q77" s="19">
        <v>0</v>
      </c>
      <c r="R77" s="19">
        <v>0</v>
      </c>
      <c r="S77" s="19">
        <v>0</v>
      </c>
      <c r="T77" s="19">
        <v>0</v>
      </c>
      <c r="U77" s="19">
        <v>0</v>
      </c>
      <c r="V77" s="19">
        <v>0</v>
      </c>
      <c r="W77" s="19">
        <v>0</v>
      </c>
      <c r="X77" s="19">
        <v>0</v>
      </c>
      <c r="Y77" s="22">
        <v>0</v>
      </c>
    </row>
    <row r="78" spans="3:25" ht="27.6" x14ac:dyDescent="0.3">
      <c r="C78" s="120" t="s">
        <v>30</v>
      </c>
      <c r="D78" s="19"/>
      <c r="E78" s="19"/>
      <c r="F78" s="19">
        <v>0</v>
      </c>
      <c r="G78" s="19">
        <v>0</v>
      </c>
      <c r="H78" s="19">
        <v>0</v>
      </c>
      <c r="I78" s="19">
        <v>0</v>
      </c>
      <c r="J78" s="19">
        <v>0</v>
      </c>
      <c r="K78" s="19">
        <v>0</v>
      </c>
      <c r="L78" s="19">
        <v>0</v>
      </c>
      <c r="M78" s="19">
        <v>0</v>
      </c>
      <c r="N78" s="19">
        <v>0</v>
      </c>
      <c r="O78" s="19">
        <v>0</v>
      </c>
      <c r="P78" s="19">
        <v>0</v>
      </c>
      <c r="Q78" s="19">
        <v>0</v>
      </c>
      <c r="R78" s="19">
        <v>0</v>
      </c>
      <c r="S78" s="19">
        <v>0</v>
      </c>
      <c r="T78" s="19">
        <v>0</v>
      </c>
      <c r="U78" s="19">
        <v>0</v>
      </c>
      <c r="V78" s="19">
        <v>0</v>
      </c>
      <c r="W78" s="19">
        <v>0</v>
      </c>
      <c r="X78" s="19">
        <v>0</v>
      </c>
      <c r="Y78" s="22">
        <v>0</v>
      </c>
    </row>
    <row r="79" spans="3:25" ht="28.2" x14ac:dyDescent="0.3">
      <c r="C79" s="119" t="s">
        <v>31</v>
      </c>
      <c r="D79" s="19"/>
      <c r="E79" s="19"/>
      <c r="F79" s="19">
        <v>0</v>
      </c>
      <c r="G79" s="19">
        <v>0</v>
      </c>
      <c r="H79" s="19">
        <v>0</v>
      </c>
      <c r="I79" s="19">
        <v>0</v>
      </c>
      <c r="J79" s="19">
        <v>0</v>
      </c>
      <c r="K79" s="19">
        <v>0</v>
      </c>
      <c r="L79" s="19">
        <v>0</v>
      </c>
      <c r="M79" s="19">
        <v>0</v>
      </c>
      <c r="N79" s="19">
        <v>0</v>
      </c>
      <c r="O79" s="19">
        <v>0</v>
      </c>
      <c r="P79" s="19">
        <v>0</v>
      </c>
      <c r="Q79" s="19">
        <v>0</v>
      </c>
      <c r="R79" s="19">
        <v>0</v>
      </c>
      <c r="S79" s="19">
        <v>0</v>
      </c>
      <c r="T79" s="19">
        <v>0</v>
      </c>
      <c r="U79" s="19">
        <v>0</v>
      </c>
      <c r="V79" s="19">
        <v>0</v>
      </c>
      <c r="W79" s="19">
        <v>0</v>
      </c>
      <c r="X79" s="19">
        <v>0</v>
      </c>
      <c r="Y79" s="22">
        <v>0</v>
      </c>
    </row>
    <row r="80" spans="3:25" ht="27.6" x14ac:dyDescent="0.3">
      <c r="C80" s="120" t="s">
        <v>29</v>
      </c>
      <c r="D80" s="19"/>
      <c r="E80" s="19"/>
      <c r="F80" s="19">
        <f>(F75+F76)*Assumptions!D18</f>
        <v>20140.767265765633</v>
      </c>
      <c r="G80" s="19">
        <f>(G75+G76)*Assumptions!E18</f>
        <v>19303.496481726266</v>
      </c>
      <c r="H80" s="19">
        <f>(H75+H76)*Assumptions!F18</f>
        <v>18453.133131034832</v>
      </c>
      <c r="I80" s="19">
        <f>(I75+I76)*Assumptions!G18</f>
        <v>17588.900246170608</v>
      </c>
      <c r="J80" s="19">
        <f>(J75+J76)*Assumptions!H18</f>
        <v>16710.15957070233</v>
      </c>
      <c r="K80" s="19">
        <f>(K75+K76)*Assumptions!I18</f>
        <v>15816.079622715471</v>
      </c>
      <c r="L80" s="19">
        <f>(L75+L76)*Assumptions!J18</f>
        <v>14905.961304249347</v>
      </c>
      <c r="M80" s="19">
        <f>(M75+M76)*Assumptions!K18</f>
        <v>13979.07452145953</v>
      </c>
      <c r="N80" s="19">
        <f>(N75+N76)*Assumptions!L18</f>
        <v>13034.498605348686</v>
      </c>
      <c r="O80" s="29">
        <f>(O75+O76)*Assumptions!M18</f>
        <v>12483.044902318719</v>
      </c>
      <c r="P80" s="29">
        <f>(P75+P76)*Assumptions!N18</f>
        <v>11467.165081696361</v>
      </c>
      <c r="Q80" s="29">
        <f>(Q75+Q76)*Assumptions!O18</f>
        <v>10430.408297331074</v>
      </c>
      <c r="R80" s="29">
        <f>(R75+R76)*Assumptions!P18</f>
        <v>9371.8373494782263</v>
      </c>
      <c r="S80" s="29">
        <f>(S75+S76)*Assumptions!Q18</f>
        <v>8290.6282754704334</v>
      </c>
      <c r="T80" s="29">
        <f>(T75+T76)*Assumptions!R18</f>
        <v>7185.7638855371615</v>
      </c>
      <c r="U80" s="29">
        <f>(U75+U76)*Assumptions!S18</f>
        <v>6056.1837179106687</v>
      </c>
      <c r="V80" s="29">
        <f>(V75+V76)*Assumptions!T18</f>
        <v>4900.9297472140406</v>
      </c>
      <c r="W80" s="29">
        <f>(W75+W76)*Assumptions!U18</f>
        <v>3718.8517559924462</v>
      </c>
      <c r="X80" s="29">
        <f>(X75+X76)*Assumptions!V18</f>
        <v>2508.7511828931833</v>
      </c>
      <c r="Y80" s="32">
        <f>(Y75+Y76)*Assumptions!W18</f>
        <v>1269.5205811310695</v>
      </c>
    </row>
    <row r="81" spans="3:25" ht="27.6" x14ac:dyDescent="0.3">
      <c r="C81" s="120" t="s">
        <v>18</v>
      </c>
      <c r="D81" s="19"/>
      <c r="E81" s="19"/>
      <c r="F81" s="19">
        <v>0</v>
      </c>
      <c r="G81" s="19">
        <v>0</v>
      </c>
      <c r="H81" s="19">
        <v>0</v>
      </c>
      <c r="I81" s="19">
        <v>0</v>
      </c>
      <c r="J81" s="19">
        <v>0</v>
      </c>
      <c r="K81" s="19">
        <v>0</v>
      </c>
      <c r="L81" s="19">
        <v>0</v>
      </c>
      <c r="M81" s="19">
        <v>0</v>
      </c>
      <c r="N81" s="29">
        <f>-N59-N70</f>
        <v>13689.798109771684</v>
      </c>
      <c r="O81" s="19">
        <v>0</v>
      </c>
      <c r="P81" s="19">
        <v>0</v>
      </c>
      <c r="Q81" s="19">
        <v>0</v>
      </c>
      <c r="R81" s="19">
        <v>0</v>
      </c>
      <c r="S81" s="19">
        <v>0</v>
      </c>
      <c r="T81" s="19">
        <v>0</v>
      </c>
      <c r="U81" s="19">
        <v>0</v>
      </c>
      <c r="V81" s="19">
        <v>0</v>
      </c>
      <c r="W81" s="19">
        <v>0</v>
      </c>
      <c r="X81" s="19">
        <v>0</v>
      </c>
      <c r="Y81" s="22">
        <v>0</v>
      </c>
    </row>
    <row r="82" spans="3:25" ht="28.2" x14ac:dyDescent="0.3">
      <c r="C82" s="119" t="s">
        <v>33</v>
      </c>
      <c r="D82" s="19"/>
      <c r="E82" s="19"/>
      <c r="F82" s="19">
        <f>-SUM(F75:F81)*Base!F36/SUM(Base!F36:$Y$36)</f>
        <v>-41072.53686674979</v>
      </c>
      <c r="G82" s="19">
        <f>-SUM(G75:G81)*Base!G36/SUM(Base!G36:$Y$36)</f>
        <v>-40562.580249012222</v>
      </c>
      <c r="H82" s="19">
        <f>-SUM(H75:H81)*Base!H36/SUM(Base!H36:$Y$36)</f>
        <v>-40058.955252640495</v>
      </c>
      <c r="I82" s="19">
        <f>-SUM(I75:I81)*Base!I36/SUM(Base!I36:$Y$36)</f>
        <v>-39557.417132877446</v>
      </c>
      <c r="J82" s="19">
        <f>-SUM(J75:J81)*Base!J36/SUM(Base!J36:$Y$36)</f>
        <v>-39062.15827037381</v>
      </c>
      <c r="K82" s="19">
        <f>-SUM(K75:K81)*Base!K36/SUM(Base!K36:$Y$36)</f>
        <v>-38569.03758436862</v>
      </c>
      <c r="L82" s="19">
        <f>-SUM(L75:L81)*Base!L36/SUM(Base!L36:$Y$36)</f>
        <v>-38078.130873994785</v>
      </c>
      <c r="M82" s="19">
        <f>-SUM(M75:M81)*Base!M36/SUM(Base!M36:$Y$36)</f>
        <v>-37593.472424230575</v>
      </c>
      <c r="N82" s="29">
        <f>-SUM(N75:N81)*N36/SUM(N36:$Y$36)</f>
        <v>-40510.639290869571</v>
      </c>
      <c r="O82" s="29">
        <f>-SUM(O75:O81)*O36/SUM(O36:$Y$36)</f>
        <v>-37880.040417877666</v>
      </c>
      <c r="P82" s="29">
        <f>-SUM(P75:P81)*P36/SUM(P36:$Y$36)</f>
        <v>-37386.084690828531</v>
      </c>
      <c r="Q82" s="29">
        <f>-SUM(Q75:Q81)*Q36/SUM(Q36:$Y$36)</f>
        <v>-36894.681993652273</v>
      </c>
      <c r="R82" s="29">
        <f>-SUM(R75:R81)*R36/SUM(R36:$Y$36)</f>
        <v>-36402.064199673026</v>
      </c>
      <c r="S82" s="29">
        <f>-SUM(S75:S81)*S36/SUM(S36:$Y$36)</f>
        <v>-35912.238023802223</v>
      </c>
      <c r="T82" s="29">
        <f>-SUM(T75:T81)*T36/SUM(T36:$Y$36)</f>
        <v>-35425.268076199471</v>
      </c>
      <c r="U82" s="29">
        <f>-SUM(U75:U81)*U36/SUM(U36:$Y$36)</f>
        <v>-34937.532985326361</v>
      </c>
      <c r="V82" s="29">
        <f>-SUM(V75:V81)*V36/SUM(V36:$Y$36)</f>
        <v>-34452.879527753903</v>
      </c>
      <c r="W82" s="29">
        <f>-SUM(W75:W81)*W36/SUM(W36:$Y$36)</f>
        <v>-33971.366083474022</v>
      </c>
      <c r="X82" s="29">
        <f>-SUM(X75:X81)*X36/SUM(X36:$Y$36)</f>
        <v>-33489.51622694602</v>
      </c>
      <c r="Y82" s="32">
        <f>-SUM(Y75:Y81)*Y36/SUM(Y36:$Y$36)</f>
        <v>-33007.535109407807</v>
      </c>
    </row>
    <row r="83" spans="3:25" x14ac:dyDescent="0.3">
      <c r="C83" s="123" t="s">
        <v>70</v>
      </c>
      <c r="D83" s="23"/>
      <c r="E83" s="23"/>
      <c r="F83" s="23">
        <f>SUM(F75:F82)</f>
        <v>482587.41204315668</v>
      </c>
      <c r="G83" s="23">
        <f>SUM(G75:G82)</f>
        <v>461328.32827587076</v>
      </c>
      <c r="H83" s="23">
        <f t="shared" ref="H83:Y83" si="22">SUM(H75:H82)</f>
        <v>439722.50615426514</v>
      </c>
      <c r="I83" s="23">
        <f t="shared" si="22"/>
        <v>417753.98926755827</v>
      </c>
      <c r="J83" s="23">
        <f t="shared" si="22"/>
        <v>395401.99056788679</v>
      </c>
      <c r="K83" s="23">
        <f t="shared" si="22"/>
        <v>372649.03260623367</v>
      </c>
      <c r="L83" s="23">
        <f t="shared" si="22"/>
        <v>349476.86303648824</v>
      </c>
      <c r="M83" s="23">
        <f t="shared" si="22"/>
        <v>325862.46513371717</v>
      </c>
      <c r="N83" s="33">
        <f t="shared" si="22"/>
        <v>312076.12255796796</v>
      </c>
      <c r="O83" s="33">
        <f t="shared" si="22"/>
        <v>286679.12704240903</v>
      </c>
      <c r="P83" s="33">
        <f t="shared" si="22"/>
        <v>260760.20743327687</v>
      </c>
      <c r="Q83" s="33">
        <f t="shared" si="22"/>
        <v>234295.93373695566</v>
      </c>
      <c r="R83" s="33">
        <f t="shared" si="22"/>
        <v>207265.70688676083</v>
      </c>
      <c r="S83" s="33">
        <f t="shared" si="22"/>
        <v>179644.09713842903</v>
      </c>
      <c r="T83" s="33">
        <f t="shared" si="22"/>
        <v>151404.59294776671</v>
      </c>
      <c r="U83" s="33">
        <f t="shared" si="22"/>
        <v>122523.24368035101</v>
      </c>
      <c r="V83" s="33">
        <f t="shared" si="22"/>
        <v>92971.293899811149</v>
      </c>
      <c r="W83" s="33">
        <f t="shared" si="22"/>
        <v>62718.779572329579</v>
      </c>
      <c r="X83" s="33">
        <f t="shared" si="22"/>
        <v>31738.014528276741</v>
      </c>
      <c r="Y83" s="34">
        <f t="shared" si="22"/>
        <v>0</v>
      </c>
    </row>
    <row r="85" spans="3:25" ht="28.2" x14ac:dyDescent="0.3">
      <c r="C85" s="65" t="s">
        <v>72</v>
      </c>
    </row>
    <row r="86" spans="3:25" x14ac:dyDescent="0.3">
      <c r="C86" s="122" t="s">
        <v>73</v>
      </c>
      <c r="D86" s="17"/>
      <c r="E86" s="17"/>
      <c r="F86" s="17">
        <f>F53+F64+F75</f>
        <v>0</v>
      </c>
      <c r="G86" s="17">
        <f t="shared" ref="G86:Y86" si="23">G53+G64+G75</f>
        <v>-131192.53686674975</v>
      </c>
      <c r="H86" s="17">
        <f t="shared" si="23"/>
        <v>6535.8694095679675</v>
      </c>
      <c r="I86" s="17">
        <f t="shared" si="23"/>
        <v>121188.4035381102</v>
      </c>
      <c r="J86" s="17">
        <f t="shared" si="23"/>
        <v>233128.84939401477</v>
      </c>
      <c r="K86" s="17">
        <f t="shared" si="23"/>
        <v>324751.12097384577</v>
      </c>
      <c r="L86" s="17">
        <f t="shared" si="23"/>
        <v>397410.40687563305</v>
      </c>
      <c r="M86" s="17">
        <f t="shared" si="23"/>
        <v>468486.29019645246</v>
      </c>
      <c r="N86" s="17">
        <f t="shared" si="23"/>
        <v>522859.63582892745</v>
      </c>
      <c r="O86" s="35">
        <f t="shared" si="23"/>
        <v>558246.0721678785</v>
      </c>
      <c r="P86" s="35">
        <f t="shared" si="23"/>
        <v>579071.6302130447</v>
      </c>
      <c r="Q86" s="35">
        <f t="shared" si="23"/>
        <v>586975.83983333665</v>
      </c>
      <c r="R86" s="35">
        <f t="shared" si="23"/>
        <v>571037.16428219923</v>
      </c>
      <c r="S86" s="35">
        <f t="shared" si="23"/>
        <v>543926.39993235935</v>
      </c>
      <c r="T86" s="35">
        <f t="shared" si="23"/>
        <v>506334.36868878885</v>
      </c>
      <c r="U86" s="35">
        <f t="shared" si="23"/>
        <v>448856.40332716372</v>
      </c>
      <c r="V86" s="35">
        <f t="shared" si="23"/>
        <v>382235.138391988</v>
      </c>
      <c r="W86" s="35">
        <f t="shared" si="23"/>
        <v>306978.87557626655</v>
      </c>
      <c r="X86" s="35">
        <f t="shared" si="23"/>
        <v>214989.8982220586</v>
      </c>
      <c r="Y86" s="36">
        <f t="shared" si="23"/>
        <v>107242.18151027724</v>
      </c>
    </row>
    <row r="87" spans="3:25" ht="28.2" x14ac:dyDescent="0.3">
      <c r="C87" s="118" t="s">
        <v>27</v>
      </c>
      <c r="D87" s="19"/>
      <c r="E87" s="19"/>
      <c r="F87" s="19">
        <f t="shared" ref="F87:Y90" si="24">F54+F65+F76</f>
        <v>0</v>
      </c>
      <c r="G87" s="19">
        <f t="shared" si="24"/>
        <v>0</v>
      </c>
      <c r="H87" s="19">
        <f t="shared" si="24"/>
        <v>0</v>
      </c>
      <c r="I87" s="19">
        <f t="shared" si="24"/>
        <v>0</v>
      </c>
      <c r="J87" s="19">
        <f t="shared" si="24"/>
        <v>0</v>
      </c>
      <c r="K87" s="19">
        <f t="shared" si="24"/>
        <v>0</v>
      </c>
      <c r="L87" s="19">
        <f t="shared" si="24"/>
        <v>0</v>
      </c>
      <c r="M87" s="19">
        <f t="shared" si="24"/>
        <v>0</v>
      </c>
      <c r="N87" s="19">
        <f t="shared" si="24"/>
        <v>0</v>
      </c>
      <c r="O87" s="19">
        <f t="shared" si="24"/>
        <v>0</v>
      </c>
      <c r="P87" s="19">
        <f t="shared" si="24"/>
        <v>0</v>
      </c>
      <c r="Q87" s="19">
        <f t="shared" si="24"/>
        <v>0</v>
      </c>
      <c r="R87" s="19">
        <f t="shared" si="24"/>
        <v>0</v>
      </c>
      <c r="S87" s="19">
        <f t="shared" si="24"/>
        <v>0</v>
      </c>
      <c r="T87" s="19">
        <f t="shared" si="24"/>
        <v>0</v>
      </c>
      <c r="U87" s="19">
        <f t="shared" si="24"/>
        <v>0</v>
      </c>
      <c r="V87" s="19">
        <f t="shared" si="24"/>
        <v>0</v>
      </c>
      <c r="W87" s="19">
        <f t="shared" si="24"/>
        <v>0</v>
      </c>
      <c r="X87" s="19">
        <f t="shared" si="24"/>
        <v>0</v>
      </c>
      <c r="Y87" s="22">
        <f t="shared" si="24"/>
        <v>0</v>
      </c>
    </row>
    <row r="88" spans="3:25" ht="28.2" x14ac:dyDescent="0.3">
      <c r="C88" s="118" t="s">
        <v>32</v>
      </c>
      <c r="D88" s="19"/>
      <c r="E88" s="19"/>
      <c r="F88" s="19">
        <f t="shared" si="24"/>
        <v>0</v>
      </c>
      <c r="G88" s="19">
        <f t="shared" si="24"/>
        <v>0</v>
      </c>
      <c r="H88" s="19">
        <f t="shared" si="24"/>
        <v>0</v>
      </c>
      <c r="I88" s="19">
        <f t="shared" si="24"/>
        <v>0</v>
      </c>
      <c r="J88" s="19">
        <f t="shared" si="24"/>
        <v>0</v>
      </c>
      <c r="K88" s="19">
        <f t="shared" si="24"/>
        <v>0</v>
      </c>
      <c r="L88" s="19">
        <f t="shared" si="24"/>
        <v>0</v>
      </c>
      <c r="M88" s="19">
        <f t="shared" si="24"/>
        <v>0</v>
      </c>
      <c r="N88" s="19">
        <f t="shared" si="24"/>
        <v>0</v>
      </c>
      <c r="O88" s="19">
        <f t="shared" si="24"/>
        <v>0</v>
      </c>
      <c r="P88" s="19">
        <f t="shared" si="24"/>
        <v>0</v>
      </c>
      <c r="Q88" s="19">
        <f t="shared" si="24"/>
        <v>0</v>
      </c>
      <c r="R88" s="19">
        <f t="shared" si="24"/>
        <v>0</v>
      </c>
      <c r="S88" s="19">
        <f t="shared" si="24"/>
        <v>0</v>
      </c>
      <c r="T88" s="19">
        <f t="shared" si="24"/>
        <v>0</v>
      </c>
      <c r="U88" s="19">
        <f t="shared" si="24"/>
        <v>0</v>
      </c>
      <c r="V88" s="19">
        <f t="shared" si="24"/>
        <v>0</v>
      </c>
      <c r="W88" s="19">
        <f t="shared" si="24"/>
        <v>0</v>
      </c>
      <c r="X88" s="19">
        <f t="shared" si="24"/>
        <v>0</v>
      </c>
      <c r="Y88" s="22">
        <f t="shared" si="24"/>
        <v>0</v>
      </c>
    </row>
    <row r="89" spans="3:25" ht="27.6" x14ac:dyDescent="0.3">
      <c r="C89" s="124" t="s">
        <v>30</v>
      </c>
      <c r="D89" s="19"/>
      <c r="E89" s="19"/>
      <c r="F89" s="19">
        <f t="shared" si="24"/>
        <v>310000</v>
      </c>
      <c r="G89" s="19">
        <f t="shared" si="24"/>
        <v>294376</v>
      </c>
      <c r="H89" s="19">
        <f t="shared" si="24"/>
        <v>279539.44959999999</v>
      </c>
      <c r="I89" s="19">
        <f t="shared" si="24"/>
        <v>265422.70739520004</v>
      </c>
      <c r="J89" s="19">
        <f t="shared" si="24"/>
        <v>252018.86067174241</v>
      </c>
      <c r="K89" s="19">
        <f t="shared" si="24"/>
        <v>239266.70632175228</v>
      </c>
      <c r="L89" s="19">
        <f t="shared" si="24"/>
        <v>227135.88431123944</v>
      </c>
      <c r="M89" s="19">
        <f t="shared" si="24"/>
        <v>215620.0949766596</v>
      </c>
      <c r="N89" s="19">
        <f t="shared" si="24"/>
        <v>204666.59415184529</v>
      </c>
      <c r="O89" s="19">
        <f t="shared" si="24"/>
        <v>184015.73480192409</v>
      </c>
      <c r="P89" s="19">
        <f t="shared" si="24"/>
        <v>174630.93232702595</v>
      </c>
      <c r="Q89" s="19">
        <f t="shared" si="24"/>
        <v>165707.29168511491</v>
      </c>
      <c r="R89" s="19">
        <f t="shared" si="24"/>
        <v>157206.50762166851</v>
      </c>
      <c r="S89" s="19">
        <f t="shared" si="24"/>
        <v>149126.09312991475</v>
      </c>
      <c r="T89" s="19">
        <f t="shared" si="24"/>
        <v>141446.09933372415</v>
      </c>
      <c r="U89" s="19">
        <f t="shared" si="24"/>
        <v>134133.33599817063</v>
      </c>
      <c r="V89" s="19">
        <f t="shared" si="24"/>
        <v>127185.22919346539</v>
      </c>
      <c r="W89" s="19">
        <f t="shared" si="24"/>
        <v>120584.31579832453</v>
      </c>
      <c r="X89" s="19">
        <f t="shared" si="24"/>
        <v>114301.87294523182</v>
      </c>
      <c r="Y89" s="22">
        <f t="shared" si="24"/>
        <v>108323.88499019619</v>
      </c>
    </row>
    <row r="90" spans="3:25" ht="28.2" x14ac:dyDescent="0.3">
      <c r="C90" s="118" t="s">
        <v>31</v>
      </c>
      <c r="D90" s="19"/>
      <c r="E90" s="19"/>
      <c r="F90" s="19">
        <f>F57+F68+F79</f>
        <v>-393000</v>
      </c>
      <c r="G90" s="19">
        <f t="shared" si="24"/>
        <v>-114426.8</v>
      </c>
      <c r="H90" s="19">
        <f t="shared" si="24"/>
        <v>-126694.49248000002</v>
      </c>
      <c r="I90" s="19">
        <f t="shared" si="24"/>
        <v>-120296.42060976001</v>
      </c>
      <c r="J90" s="19">
        <f t="shared" si="24"/>
        <v>-130480.73270262792</v>
      </c>
      <c r="K90" s="19">
        <f t="shared" si="24"/>
        <v>-139314.96932605252</v>
      </c>
      <c r="L90" s="19">
        <f t="shared" si="24"/>
        <v>-132251.70038122169</v>
      </c>
      <c r="M90" s="19">
        <f t="shared" si="24"/>
        <v>-139457.51304135565</v>
      </c>
      <c r="N90" s="19">
        <f t="shared" si="24"/>
        <v>-145577.36777574802</v>
      </c>
      <c r="O90" s="29">
        <f t="shared" si="24"/>
        <v>-142760.59425762176</v>
      </c>
      <c r="P90" s="29">
        <f t="shared" si="24"/>
        <v>-146746.31571351696</v>
      </c>
      <c r="Q90" s="29">
        <f t="shared" si="24"/>
        <v>-160629.16500444201</v>
      </c>
      <c r="R90" s="29">
        <f t="shared" si="24"/>
        <v>-162531.24417014437</v>
      </c>
      <c r="S90" s="29">
        <f t="shared" si="24"/>
        <v>-163798.17648624509</v>
      </c>
      <c r="T90" s="29">
        <f t="shared" si="24"/>
        <v>-173613.67998865177</v>
      </c>
      <c r="U90" s="29">
        <f t="shared" si="24"/>
        <v>-173291.61634602363</v>
      </c>
      <c r="V90" s="29">
        <f t="shared" si="24"/>
        <v>-172520.60927694256</v>
      </c>
      <c r="W90" s="29">
        <f t="shared" si="24"/>
        <v>-179126.05621009177</v>
      </c>
      <c r="X90" s="29">
        <f t="shared" si="24"/>
        <v>-184542.21744867266</v>
      </c>
      <c r="Y90" s="32">
        <f t="shared" si="24"/>
        <v>-174890.65947610707</v>
      </c>
    </row>
    <row r="91" spans="3:25" ht="27.6" x14ac:dyDescent="0.3">
      <c r="C91" s="124" t="s">
        <v>29</v>
      </c>
      <c r="D91" s="19"/>
      <c r="E91" s="19"/>
      <c r="F91" s="19">
        <f t="shared" ref="F91:Y94" si="25">F58+F69+F80</f>
        <v>880</v>
      </c>
      <c r="G91" s="19">
        <f t="shared" si="25"/>
        <v>5938.5865253300071</v>
      </c>
      <c r="H91" s="19">
        <f t="shared" si="25"/>
        <v>10883.933861182722</v>
      </c>
      <c r="I91" s="19">
        <f t="shared" si="25"/>
        <v>14933.59902254201</v>
      </c>
      <c r="J91" s="19">
        <f t="shared" si="25"/>
        <v>18901.8706812868</v>
      </c>
      <c r="K91" s="19">
        <f t="shared" si="25"/>
        <v>22082.179679180415</v>
      </c>
      <c r="L91" s="19">
        <f t="shared" si="25"/>
        <v>24527.579878852423</v>
      </c>
      <c r="M91" s="19">
        <f t="shared" si="25"/>
        <v>26933.015216971166</v>
      </c>
      <c r="N91" s="19">
        <f t="shared" si="25"/>
        <v>28691.716010927219</v>
      </c>
      <c r="O91" s="29">
        <f t="shared" si="25"/>
        <v>29322.440809188251</v>
      </c>
      <c r="P91" s="29">
        <f t="shared" si="25"/>
        <v>29798.840636948771</v>
      </c>
      <c r="Q91" s="29">
        <f t="shared" si="25"/>
        <v>29775.910677367829</v>
      </c>
      <c r="R91" s="29">
        <f t="shared" si="25"/>
        <v>28815.333860911378</v>
      </c>
      <c r="S91" s="29">
        <f t="shared" si="25"/>
        <v>27423.847536231133</v>
      </c>
      <c r="T91" s="29">
        <f t="shared" si="25"/>
        <v>25628.32652223307</v>
      </c>
      <c r="U91" s="29">
        <f t="shared" si="25"/>
        <v>23051.322901017033</v>
      </c>
      <c r="V91" s="29">
        <f t="shared" si="25"/>
        <v>20122.444245031205</v>
      </c>
      <c r="W91" s="29">
        <f t="shared" si="25"/>
        <v>16861.359023386995</v>
      </c>
      <c r="X91" s="29">
        <f t="shared" si="25"/>
        <v>12943.067100801156</v>
      </c>
      <c r="Y91" s="32">
        <f t="shared" si="25"/>
        <v>8405.9948900385443</v>
      </c>
    </row>
    <row r="92" spans="3:25" ht="27.6" x14ac:dyDescent="0.3">
      <c r="C92" s="124" t="s">
        <v>18</v>
      </c>
      <c r="D92" s="19"/>
      <c r="E92" s="19"/>
      <c r="F92" s="19">
        <f t="shared" si="25"/>
        <v>0</v>
      </c>
      <c r="G92" s="19">
        <f t="shared" si="25"/>
        <v>0</v>
      </c>
      <c r="H92" s="19">
        <f t="shared" si="25"/>
        <v>0</v>
      </c>
      <c r="I92" s="19">
        <f t="shared" si="25"/>
        <v>0</v>
      </c>
      <c r="J92" s="19">
        <f t="shared" si="25"/>
        <v>0</v>
      </c>
      <c r="K92" s="19">
        <f t="shared" si="25"/>
        <v>0</v>
      </c>
      <c r="L92" s="19">
        <f t="shared" si="25"/>
        <v>0</v>
      </c>
      <c r="M92" s="19">
        <f t="shared" si="25"/>
        <v>0</v>
      </c>
      <c r="N92" s="19">
        <f t="shared" si="25"/>
        <v>0</v>
      </c>
      <c r="O92" s="19">
        <f t="shared" si="25"/>
        <v>0</v>
      </c>
      <c r="P92" s="19">
        <f t="shared" si="25"/>
        <v>0</v>
      </c>
      <c r="Q92" s="19">
        <f t="shared" si="25"/>
        <v>0</v>
      </c>
      <c r="R92" s="19">
        <f t="shared" si="25"/>
        <v>0</v>
      </c>
      <c r="S92" s="19">
        <f t="shared" si="25"/>
        <v>0</v>
      </c>
      <c r="T92" s="19">
        <f t="shared" si="25"/>
        <v>0</v>
      </c>
      <c r="U92" s="19">
        <f t="shared" si="25"/>
        <v>0</v>
      </c>
      <c r="V92" s="19">
        <f t="shared" si="25"/>
        <v>0</v>
      </c>
      <c r="W92" s="19">
        <f t="shared" si="25"/>
        <v>0</v>
      </c>
      <c r="X92" s="19">
        <f t="shared" si="25"/>
        <v>0</v>
      </c>
      <c r="Y92" s="22">
        <f t="shared" si="25"/>
        <v>0</v>
      </c>
    </row>
    <row r="93" spans="3:25" ht="28.2" x14ac:dyDescent="0.3">
      <c r="C93" s="118" t="s">
        <v>33</v>
      </c>
      <c r="D93" s="19"/>
      <c r="E93" s="19"/>
      <c r="F93" s="19">
        <f t="shared" si="25"/>
        <v>-49072.53686674979</v>
      </c>
      <c r="G93" s="19">
        <f t="shared" si="25"/>
        <v>-48159.380249012225</v>
      </c>
      <c r="H93" s="19">
        <f t="shared" si="25"/>
        <v>-49076.3568526405</v>
      </c>
      <c r="I93" s="19">
        <f t="shared" si="25"/>
        <v>-48119.439952077446</v>
      </c>
      <c r="J93" s="19">
        <f t="shared" si="25"/>
        <v>-48817.72707057029</v>
      </c>
      <c r="K93" s="19">
        <f t="shared" si="25"/>
        <v>-49374.630773092918</v>
      </c>
      <c r="L93" s="19">
        <f t="shared" si="25"/>
        <v>-48335.88048805076</v>
      </c>
      <c r="M93" s="19">
        <f t="shared" si="25"/>
        <v>-48722.251519800106</v>
      </c>
      <c r="N93" s="29">
        <f t="shared" si="25"/>
        <v>-52394.50604807349</v>
      </c>
      <c r="O93" s="29">
        <f t="shared" si="25"/>
        <v>-49752.02330832438</v>
      </c>
      <c r="P93" s="29">
        <f t="shared" si="25"/>
        <v>-49779.247630165861</v>
      </c>
      <c r="Q93" s="29">
        <f t="shared" si="25"/>
        <v>-50792.712909178037</v>
      </c>
      <c r="R93" s="29">
        <f t="shared" si="25"/>
        <v>-50601.361662275347</v>
      </c>
      <c r="S93" s="29">
        <f t="shared" si="25"/>
        <v>-50343.795423471398</v>
      </c>
      <c r="T93" s="29">
        <f t="shared" si="25"/>
        <v>-50938.711228930508</v>
      </c>
      <c r="U93" s="29">
        <f t="shared" si="25"/>
        <v>-50514.30748833972</v>
      </c>
      <c r="V93" s="29">
        <f t="shared" si="25"/>
        <v>-50043.326977275465</v>
      </c>
      <c r="W93" s="29">
        <f t="shared" si="25"/>
        <v>-50308.59596582767</v>
      </c>
      <c r="X93" s="29">
        <f t="shared" si="25"/>
        <v>-50450.439309141708</v>
      </c>
      <c r="Y93" s="32">
        <f t="shared" si="25"/>
        <v>-49081.401914404662</v>
      </c>
    </row>
    <row r="94" spans="3:25" x14ac:dyDescent="0.3">
      <c r="C94" s="116" t="s">
        <v>74</v>
      </c>
      <c r="D94" s="23"/>
      <c r="E94" s="23"/>
      <c r="F94" s="23">
        <f t="shared" si="25"/>
        <v>-131192.53686674975</v>
      </c>
      <c r="G94" s="23">
        <f t="shared" si="25"/>
        <v>6535.8694095679675</v>
      </c>
      <c r="H94" s="23">
        <f t="shared" si="25"/>
        <v>121188.4035381102</v>
      </c>
      <c r="I94" s="23">
        <f t="shared" si="25"/>
        <v>233128.84939401477</v>
      </c>
      <c r="J94" s="23">
        <f t="shared" si="25"/>
        <v>324751.12097384577</v>
      </c>
      <c r="K94" s="23">
        <f t="shared" si="25"/>
        <v>397410.40687563305</v>
      </c>
      <c r="L94" s="23">
        <f t="shared" si="25"/>
        <v>468486.29019645246</v>
      </c>
      <c r="M94" s="23">
        <f t="shared" si="25"/>
        <v>522859.63582892745</v>
      </c>
      <c r="N94" s="33">
        <f t="shared" si="25"/>
        <v>558246.0721678785</v>
      </c>
      <c r="O94" s="33">
        <f t="shared" si="25"/>
        <v>579071.6302130447</v>
      </c>
      <c r="P94" s="33">
        <f t="shared" si="25"/>
        <v>586975.83983333665</v>
      </c>
      <c r="Q94" s="33">
        <f t="shared" si="25"/>
        <v>571037.16428219923</v>
      </c>
      <c r="R94" s="33">
        <f t="shared" si="25"/>
        <v>543926.39993235935</v>
      </c>
      <c r="S94" s="33">
        <f t="shared" si="25"/>
        <v>506334.36868878885</v>
      </c>
      <c r="T94" s="33">
        <f t="shared" si="25"/>
        <v>448856.40332716372</v>
      </c>
      <c r="U94" s="33">
        <f t="shared" si="25"/>
        <v>382235.138391988</v>
      </c>
      <c r="V94" s="33">
        <f t="shared" si="25"/>
        <v>306978.87557626655</v>
      </c>
      <c r="W94" s="33">
        <f t="shared" si="25"/>
        <v>214989.8982220586</v>
      </c>
      <c r="X94" s="33">
        <f t="shared" si="25"/>
        <v>107242.18151027724</v>
      </c>
      <c r="Y94" s="34">
        <f t="shared" si="25"/>
        <v>2.382876118645072E-10</v>
      </c>
    </row>
    <row r="95" spans="3:25" x14ac:dyDescent="0.3">
      <c r="C95" s="19"/>
      <c r="D95" s="19"/>
      <c r="E95" s="19"/>
      <c r="F95" s="19"/>
      <c r="G95" s="19"/>
      <c r="H95" s="19"/>
      <c r="I95" s="19"/>
      <c r="J95" s="19"/>
      <c r="K95" s="19"/>
      <c r="L95" s="19"/>
      <c r="M95" s="19"/>
      <c r="N95" s="19"/>
      <c r="O95" s="19"/>
      <c r="P95" s="19"/>
      <c r="Q95" s="19"/>
      <c r="R95" s="19"/>
      <c r="S95" s="19"/>
      <c r="T95" s="19"/>
      <c r="U95" s="19"/>
      <c r="V95" s="19"/>
      <c r="W95" s="19"/>
      <c r="X95" s="19"/>
      <c r="Y95" s="19"/>
    </row>
    <row r="96" spans="3:25" ht="28.2" x14ac:dyDescent="0.3">
      <c r="C96" s="65" t="s">
        <v>75</v>
      </c>
    </row>
    <row r="97" spans="3:28" x14ac:dyDescent="0.3">
      <c r="C97" s="122" t="s">
        <v>76</v>
      </c>
      <c r="D97" s="17"/>
      <c r="E97" s="17"/>
      <c r="F97" s="17">
        <v>0</v>
      </c>
      <c r="G97" s="17">
        <f>F101</f>
        <v>276027.56704243307</v>
      </c>
      <c r="H97" s="17">
        <f t="shared" ref="H97:Y97" si="26">G101</f>
        <v>263867.91881416464</v>
      </c>
      <c r="I97" s="17">
        <f t="shared" si="26"/>
        <v>251509.94518006357</v>
      </c>
      <c r="J97" s="17">
        <f t="shared" si="26"/>
        <v>238944.51948423954</v>
      </c>
      <c r="K97" s="17">
        <f t="shared" si="26"/>
        <v>226159.75207084045</v>
      </c>
      <c r="L97" s="17">
        <f t="shared" si="26"/>
        <v>213145.64628929092</v>
      </c>
      <c r="M97" s="17">
        <f t="shared" si="26"/>
        <v>199891.76226784126</v>
      </c>
      <c r="N97" s="17">
        <f t="shared" si="26"/>
        <v>186384.93503279742</v>
      </c>
      <c r="O97" s="35">
        <f t="shared" si="26"/>
        <v>171568.94667338399</v>
      </c>
      <c r="P97" s="35">
        <f t="shared" si="26"/>
        <v>157606.5334853525</v>
      </c>
      <c r="Q97" s="35">
        <f t="shared" si="26"/>
        <v>143357.18400035653</v>
      </c>
      <c r="R97" s="35">
        <f t="shared" si="26"/>
        <v>128808.01719663675</v>
      </c>
      <c r="S97" s="35">
        <f t="shared" si="26"/>
        <v>113947.70840076236</v>
      </c>
      <c r="T97" s="35">
        <f t="shared" si="26"/>
        <v>98762.27719538621</v>
      </c>
      <c r="U97" s="35">
        <f t="shared" si="26"/>
        <v>83237.148425976484</v>
      </c>
      <c r="V97" s="35">
        <f t="shared" si="26"/>
        <v>67359.154839984636</v>
      </c>
      <c r="W97" s="35">
        <f t="shared" si="26"/>
        <v>51112.4876664966</v>
      </c>
      <c r="X97" s="35">
        <f t="shared" si="26"/>
        <v>34480.673688407449</v>
      </c>
      <c r="Y97" s="36">
        <f t="shared" si="26"/>
        <v>17448.491981662417</v>
      </c>
    </row>
    <row r="98" spans="3:28" x14ac:dyDescent="0.3">
      <c r="C98" s="126" t="s">
        <v>77</v>
      </c>
      <c r="D98" s="19"/>
      <c r="E98" s="19"/>
      <c r="F98" s="19">
        <f>(F9+F11)*-1</f>
        <v>288000</v>
      </c>
      <c r="G98" s="19">
        <f>(G9+G11)*-1</f>
        <v>0</v>
      </c>
      <c r="H98" s="19">
        <f t="shared" ref="H98:Y98" si="27">(H9+H11)*-1</f>
        <v>0</v>
      </c>
      <c r="I98" s="19">
        <f t="shared" si="27"/>
        <v>0</v>
      </c>
      <c r="J98" s="19">
        <f t="shared" si="27"/>
        <v>0</v>
      </c>
      <c r="K98" s="19">
        <f t="shared" si="27"/>
        <v>0</v>
      </c>
      <c r="L98" s="19">
        <f t="shared" si="27"/>
        <v>0</v>
      </c>
      <c r="M98" s="19">
        <f t="shared" si="27"/>
        <v>0</v>
      </c>
      <c r="N98" s="19">
        <f t="shared" si="27"/>
        <v>0</v>
      </c>
      <c r="O98" s="19">
        <f t="shared" si="27"/>
        <v>0</v>
      </c>
      <c r="P98" s="19">
        <f t="shared" si="27"/>
        <v>0</v>
      </c>
      <c r="Q98" s="19">
        <f t="shared" si="27"/>
        <v>0</v>
      </c>
      <c r="R98" s="19">
        <f t="shared" si="27"/>
        <v>0</v>
      </c>
      <c r="S98" s="19">
        <f t="shared" si="27"/>
        <v>0</v>
      </c>
      <c r="T98" s="19">
        <f t="shared" si="27"/>
        <v>0</v>
      </c>
      <c r="U98" s="19">
        <f t="shared" si="27"/>
        <v>0</v>
      </c>
      <c r="V98" s="19">
        <f t="shared" si="27"/>
        <v>0</v>
      </c>
      <c r="W98" s="19">
        <f t="shared" si="27"/>
        <v>0</v>
      </c>
      <c r="X98" s="19">
        <f t="shared" si="27"/>
        <v>0</v>
      </c>
      <c r="Y98" s="22">
        <f t="shared" si="27"/>
        <v>0</v>
      </c>
    </row>
    <row r="99" spans="3:28" x14ac:dyDescent="0.3">
      <c r="C99" s="126" t="s">
        <v>78</v>
      </c>
      <c r="D99" s="19"/>
      <c r="E99" s="19"/>
      <c r="F99" s="19">
        <f>(F97+F98)*Assumptions!D16</f>
        <v>11520</v>
      </c>
      <c r="G99" s="19">
        <f>(G97+G98)*Assumptions!E16</f>
        <v>11041.102681697323</v>
      </c>
      <c r="H99" s="19">
        <f>(H97+H98)*Assumptions!F16</f>
        <v>10554.716752566586</v>
      </c>
      <c r="I99" s="19">
        <f>(I97+I98)*Assumptions!G16</f>
        <v>10060.397807202544</v>
      </c>
      <c r="J99" s="19">
        <f>(J97+J98)*Assumptions!H16</f>
        <v>9557.7807793695811</v>
      </c>
      <c r="K99" s="19">
        <f>(K97+K98)*Assumptions!I16</f>
        <v>9046.3900828336173</v>
      </c>
      <c r="L99" s="19">
        <f>(L97+L98)*Assumptions!J16</f>
        <v>8525.825851571637</v>
      </c>
      <c r="M99" s="19">
        <f>(M97+M98)*Assumptions!K16</f>
        <v>7995.6704907136509</v>
      </c>
      <c r="N99" s="19">
        <f>(N97+N98)*Assumptions!L16</f>
        <v>7455.3974013118968</v>
      </c>
      <c r="O99" s="29">
        <f>(O97+O98)*Assumptions!M16</f>
        <v>6862.7578669353597</v>
      </c>
      <c r="P99" s="29">
        <f>(P97+P98)*Assumptions!N16</f>
        <v>6304.2613394140999</v>
      </c>
      <c r="Q99" s="29">
        <f>(Q97+Q98)*Assumptions!O16</f>
        <v>5734.2873600142611</v>
      </c>
      <c r="R99" s="29">
        <f>(R97+R98)*Assumptions!P16</f>
        <v>5152.3206878654701</v>
      </c>
      <c r="S99" s="29">
        <f>(S97+S98)*Assumptions!Q16</f>
        <v>4557.9083360304949</v>
      </c>
      <c r="T99" s="29">
        <f>(T97+T98)*Assumptions!R16</f>
        <v>3950.4910878154483</v>
      </c>
      <c r="U99" s="29">
        <f>(U97+U98)*Assumptions!S16</f>
        <v>3329.4859370390595</v>
      </c>
      <c r="V99" s="29">
        <f>(V97+V98)*Assumptions!T16</f>
        <v>2694.3661935993855</v>
      </c>
      <c r="W99" s="29">
        <f>(W97+W98)*Assumptions!U16</f>
        <v>2044.499506659864</v>
      </c>
      <c r="X99" s="29">
        <f>(X97+X98)*Assumptions!V16</f>
        <v>1379.226947536298</v>
      </c>
      <c r="Y99" s="32">
        <f>(Y97+Y98)*Assumptions!W16</f>
        <v>697.93967926649668</v>
      </c>
    </row>
    <row r="100" spans="3:28" x14ac:dyDescent="0.3">
      <c r="C100" s="126" t="s">
        <v>22</v>
      </c>
      <c r="D100" s="19"/>
      <c r="E100" s="19"/>
      <c r="F100" s="19">
        <f>-SUM(F97:F99)*Base!F36/SUM(Base!F36:$Y$36)</f>
        <v>-23492.432957566918</v>
      </c>
      <c r="G100" s="19">
        <f>-SUM(G97:G99)*Base!G36/SUM(Base!G36:$Y$36)</f>
        <v>-23200.750909965769</v>
      </c>
      <c r="H100" s="19">
        <f>-SUM(H97:H99)*Base!H36/SUM(Base!H36:$Y$36)</f>
        <v>-22912.690386667637</v>
      </c>
      <c r="I100" s="19">
        <f>-SUM(I97:I99)*Base!I36/SUM(Base!I36:$Y$36)</f>
        <v>-22625.823503026561</v>
      </c>
      <c r="J100" s="19">
        <f>-SUM(J97:J99)*Base!J36/SUM(Base!J36:$Y$36)</f>
        <v>-22342.548192768663</v>
      </c>
      <c r="K100" s="19">
        <f>-SUM(K97:K99)*Base!K36/SUM(Base!K36:$Y$36)</f>
        <v>-22060.495864383156</v>
      </c>
      <c r="L100" s="19">
        <f>-SUM(L97:L99)*Base!L36/SUM(Base!L36:$Y$36)</f>
        <v>-21779.709873021289</v>
      </c>
      <c r="M100" s="19">
        <f>-SUM(M97:M99)*Base!M36/SUM(Base!M36:$Y$36)</f>
        <v>-21502.497725757472</v>
      </c>
      <c r="N100" s="29">
        <f>-SUM(N97:N99)*N36/SUM(N36:$Y$36)</f>
        <v>-22271.385760725316</v>
      </c>
      <c r="O100" s="29">
        <f>-SUM(O97:O99)*O36/SUM(O36:$Y$36)</f>
        <v>-20825.171054966857</v>
      </c>
      <c r="P100" s="29">
        <f>-SUM(P97:P99)*P36/SUM(P36:$Y$36)</f>
        <v>-20553.610824410083</v>
      </c>
      <c r="Q100" s="29">
        <f>-SUM(Q97:Q99)*Q36/SUM(Q36:$Y$36)</f>
        <v>-20283.454163734034</v>
      </c>
      <c r="R100" s="29">
        <f>-SUM(R97:R99)*R36/SUM(R36:$Y$36)</f>
        <v>-20012.629483739856</v>
      </c>
      <c r="S100" s="29">
        <f>-SUM(S97:S99)*S36/SUM(S36:$Y$36)</f>
        <v>-19743.339541406654</v>
      </c>
      <c r="T100" s="29">
        <f>-SUM(T97:T99)*T36/SUM(T36:$Y$36)</f>
        <v>-19475.619857225181</v>
      </c>
      <c r="U100" s="29">
        <f>-SUM(U97:U99)*U36/SUM(U36:$Y$36)</f>
        <v>-19207.47952303091</v>
      </c>
      <c r="V100" s="29">
        <f>-SUM(V97:V99)*V36/SUM(V36:$Y$36)</f>
        <v>-18941.033367087424</v>
      </c>
      <c r="W100" s="29">
        <f>-SUM(W97:W99)*W36/SUM(W36:$Y$36)</f>
        <v>-18676.313484749015</v>
      </c>
      <c r="X100" s="29">
        <f>-SUM(X97:X99)*X36/SUM(X36:$Y$36)</f>
        <v>-18411.408654281331</v>
      </c>
      <c r="Y100" s="32">
        <f>-SUM(Y97:Y99)*Y36/SUM(Y36:$Y$36)</f>
        <v>-18146.431660928913</v>
      </c>
    </row>
    <row r="101" spans="3:28" x14ac:dyDescent="0.3">
      <c r="C101" s="123" t="s">
        <v>79</v>
      </c>
      <c r="D101" s="23"/>
      <c r="E101" s="23"/>
      <c r="F101" s="23">
        <f>SUM(F97:F100)</f>
        <v>276027.56704243307</v>
      </c>
      <c r="G101" s="23">
        <f>SUM(G97:G100)</f>
        <v>263867.91881416464</v>
      </c>
      <c r="H101" s="23">
        <f t="shared" ref="H101:Y101" si="28">SUM(H97:H100)</f>
        <v>251509.94518006357</v>
      </c>
      <c r="I101" s="23">
        <f t="shared" si="28"/>
        <v>238944.51948423954</v>
      </c>
      <c r="J101" s="23">
        <f t="shared" si="28"/>
        <v>226159.75207084045</v>
      </c>
      <c r="K101" s="23">
        <f t="shared" si="28"/>
        <v>213145.64628929092</v>
      </c>
      <c r="L101" s="23">
        <f t="shared" si="28"/>
        <v>199891.76226784126</v>
      </c>
      <c r="M101" s="23">
        <f t="shared" si="28"/>
        <v>186384.93503279742</v>
      </c>
      <c r="N101" s="33">
        <f t="shared" si="28"/>
        <v>171568.94667338399</v>
      </c>
      <c r="O101" s="33">
        <f t="shared" si="28"/>
        <v>157606.5334853525</v>
      </c>
      <c r="P101" s="33">
        <f t="shared" si="28"/>
        <v>143357.18400035653</v>
      </c>
      <c r="Q101" s="33">
        <f t="shared" si="28"/>
        <v>128808.01719663675</v>
      </c>
      <c r="R101" s="33">
        <f t="shared" si="28"/>
        <v>113947.70840076236</v>
      </c>
      <c r="S101" s="33">
        <f t="shared" si="28"/>
        <v>98762.27719538621</v>
      </c>
      <c r="T101" s="33">
        <f t="shared" si="28"/>
        <v>83237.148425976484</v>
      </c>
      <c r="U101" s="33">
        <f t="shared" si="28"/>
        <v>67359.154839984636</v>
      </c>
      <c r="V101" s="33">
        <f t="shared" si="28"/>
        <v>51112.4876664966</v>
      </c>
      <c r="W101" s="33">
        <f t="shared" si="28"/>
        <v>34480.673688407449</v>
      </c>
      <c r="X101" s="33">
        <f t="shared" si="28"/>
        <v>17448.491981662417</v>
      </c>
      <c r="Y101" s="34">
        <f t="shared" si="28"/>
        <v>0</v>
      </c>
      <c r="Z101" s="19"/>
    </row>
    <row r="103" spans="3:28" x14ac:dyDescent="0.3">
      <c r="C103" s="73" t="s">
        <v>39</v>
      </c>
      <c r="AB103" s="7" t="s">
        <v>2</v>
      </c>
    </row>
    <row r="104" spans="3:28" ht="41.4" x14ac:dyDescent="0.3">
      <c r="C104" s="127" t="s">
        <v>24</v>
      </c>
      <c r="D104" s="17"/>
      <c r="E104" s="17"/>
      <c r="F104" s="17">
        <f>-F82</f>
        <v>41072.53686674979</v>
      </c>
      <c r="G104" s="17">
        <f t="shared" ref="G104:Y104" si="29">-G82</f>
        <v>40562.580249012222</v>
      </c>
      <c r="H104" s="17">
        <f t="shared" si="29"/>
        <v>40058.955252640495</v>
      </c>
      <c r="I104" s="17">
        <f t="shared" si="29"/>
        <v>39557.417132877446</v>
      </c>
      <c r="J104" s="17">
        <f t="shared" si="29"/>
        <v>39062.15827037381</v>
      </c>
      <c r="K104" s="17">
        <f t="shared" si="29"/>
        <v>38569.03758436862</v>
      </c>
      <c r="L104" s="17">
        <f t="shared" si="29"/>
        <v>38078.130873994785</v>
      </c>
      <c r="M104" s="17">
        <f t="shared" si="29"/>
        <v>37593.472424230575</v>
      </c>
      <c r="N104" s="35">
        <f t="shared" si="29"/>
        <v>40510.639290869571</v>
      </c>
      <c r="O104" s="35">
        <f t="shared" si="29"/>
        <v>37880.040417877666</v>
      </c>
      <c r="P104" s="35">
        <f t="shared" si="29"/>
        <v>37386.084690828531</v>
      </c>
      <c r="Q104" s="35">
        <f t="shared" si="29"/>
        <v>36894.681993652273</v>
      </c>
      <c r="R104" s="35">
        <f t="shared" si="29"/>
        <v>36402.064199673026</v>
      </c>
      <c r="S104" s="35">
        <f t="shared" si="29"/>
        <v>35912.238023802223</v>
      </c>
      <c r="T104" s="35">
        <f t="shared" si="29"/>
        <v>35425.268076199471</v>
      </c>
      <c r="U104" s="35">
        <f t="shared" si="29"/>
        <v>34937.532985326361</v>
      </c>
      <c r="V104" s="35">
        <f t="shared" si="29"/>
        <v>34452.879527753903</v>
      </c>
      <c r="W104" s="35">
        <f t="shared" si="29"/>
        <v>33971.366083474022</v>
      </c>
      <c r="X104" s="35">
        <f t="shared" si="29"/>
        <v>33489.51622694602</v>
      </c>
      <c r="Y104" s="36">
        <f t="shared" si="29"/>
        <v>33007.535109407807</v>
      </c>
      <c r="Z104" s="19"/>
      <c r="AB104" s="2">
        <f>NPV(0.04,F104:Z104)</f>
        <v>513137.45220881852</v>
      </c>
    </row>
    <row r="105" spans="3:28" x14ac:dyDescent="0.3">
      <c r="C105" s="128" t="s">
        <v>25</v>
      </c>
      <c r="D105" s="19"/>
      <c r="E105" s="19"/>
      <c r="F105" s="19">
        <f>-F71</f>
        <v>8000</v>
      </c>
      <c r="G105" s="19">
        <f t="shared" ref="G105:Y105" si="30">-G71</f>
        <v>7596.8</v>
      </c>
      <c r="H105" s="19">
        <f t="shared" si="30"/>
        <v>9017.4016000000029</v>
      </c>
      <c r="I105" s="19">
        <f t="shared" si="30"/>
        <v>8562.0228192000013</v>
      </c>
      <c r="J105" s="19">
        <f t="shared" si="30"/>
        <v>9755.5688001964809</v>
      </c>
      <c r="K105" s="19">
        <f t="shared" si="30"/>
        <v>10805.593188724297</v>
      </c>
      <c r="L105" s="19">
        <f t="shared" si="30"/>
        <v>10257.749614055976</v>
      </c>
      <c r="M105" s="19">
        <f t="shared" si="30"/>
        <v>11128.779095569529</v>
      </c>
      <c r="N105" s="19">
        <f t="shared" si="30"/>
        <v>11883.866757203921</v>
      </c>
      <c r="O105" s="29">
        <f t="shared" si="30"/>
        <v>11871.982890446716</v>
      </c>
      <c r="P105" s="29">
        <f t="shared" si="30"/>
        <v>12393.162939337326</v>
      </c>
      <c r="Q105" s="29">
        <f t="shared" si="30"/>
        <v>13898.030915525766</v>
      </c>
      <c r="R105" s="29">
        <f t="shared" si="30"/>
        <v>14199.297462602319</v>
      </c>
      <c r="S105" s="29">
        <f t="shared" si="30"/>
        <v>14431.557399669171</v>
      </c>
      <c r="T105" s="29">
        <f t="shared" si="30"/>
        <v>15513.443152731037</v>
      </c>
      <c r="U105" s="29">
        <f t="shared" si="30"/>
        <v>15576.774503013361</v>
      </c>
      <c r="V105" s="29">
        <f t="shared" si="30"/>
        <v>15590.447449521564</v>
      </c>
      <c r="W105" s="29">
        <f t="shared" si="30"/>
        <v>16337.229882353648</v>
      </c>
      <c r="X105" s="29">
        <f t="shared" si="30"/>
        <v>16960.923082195688</v>
      </c>
      <c r="Y105" s="32">
        <f t="shared" si="30"/>
        <v>16073.866804996855</v>
      </c>
      <c r="Z105" s="19"/>
      <c r="AB105" s="2">
        <f t="shared" ref="AB105:AB107" si="31">NPV(0.04,F105:Z105)</f>
        <v>160883.6893623521</v>
      </c>
    </row>
    <row r="106" spans="3:28" ht="42" x14ac:dyDescent="0.3">
      <c r="C106" s="128" t="s">
        <v>80</v>
      </c>
      <c r="D106" s="19"/>
      <c r="E106" s="19"/>
      <c r="F106" s="19">
        <f t="shared" ref="F106:N106" si="32">-F15</f>
        <v>80000</v>
      </c>
      <c r="G106" s="19">
        <f t="shared" si="32"/>
        <v>75968</v>
      </c>
      <c r="H106" s="19">
        <f t="shared" si="32"/>
        <v>90174.016000000018</v>
      </c>
      <c r="I106" s="19">
        <f t="shared" si="32"/>
        <v>85620.22819200001</v>
      </c>
      <c r="J106" s="19">
        <f t="shared" si="32"/>
        <v>97555.688001964809</v>
      </c>
      <c r="K106" s="19">
        <f t="shared" si="32"/>
        <v>108055.93188724296</v>
      </c>
      <c r="L106" s="19">
        <f t="shared" si="32"/>
        <v>102577.49614055976</v>
      </c>
      <c r="M106" s="19">
        <f t="shared" si="32"/>
        <v>111287.79095569528</v>
      </c>
      <c r="N106" s="19">
        <f t="shared" si="32"/>
        <v>118838.66757203921</v>
      </c>
      <c r="O106" s="29">
        <f>-O26</f>
        <v>118719.82890446715</v>
      </c>
      <c r="P106" s="29">
        <f t="shared" ref="P106:Y106" si="33">-P26</f>
        <v>123931.62939337325</v>
      </c>
      <c r="Q106" s="29">
        <f t="shared" si="33"/>
        <v>138980.30915525765</v>
      </c>
      <c r="R106" s="29">
        <f t="shared" si="33"/>
        <v>141992.97462602318</v>
      </c>
      <c r="S106" s="29">
        <f t="shared" si="33"/>
        <v>144315.5739966917</v>
      </c>
      <c r="T106" s="29">
        <f t="shared" si="33"/>
        <v>155134.43152731037</v>
      </c>
      <c r="U106" s="29">
        <f t="shared" si="33"/>
        <v>155767.74503013361</v>
      </c>
      <c r="V106" s="29">
        <f t="shared" si="33"/>
        <v>155904.47449521563</v>
      </c>
      <c r="W106" s="29">
        <f t="shared" si="33"/>
        <v>163372.29882353646</v>
      </c>
      <c r="X106" s="29">
        <f t="shared" si="33"/>
        <v>169609.23082195688</v>
      </c>
      <c r="Y106" s="32">
        <f t="shared" si="33"/>
        <v>160738.66804996855</v>
      </c>
      <c r="Z106" s="19"/>
      <c r="AB106" s="2">
        <f t="shared" si="31"/>
        <v>1608836.8936235206</v>
      </c>
    </row>
    <row r="107" spans="3:28" ht="42" x14ac:dyDescent="0.3">
      <c r="C107" s="128" t="s">
        <v>81</v>
      </c>
      <c r="D107" s="19"/>
      <c r="E107" s="19"/>
      <c r="F107" s="19">
        <f t="shared" ref="F107:N107" si="34">-F10-F12</f>
        <v>25000</v>
      </c>
      <c r="G107" s="19">
        <f t="shared" si="34"/>
        <v>38458.800000000003</v>
      </c>
      <c r="H107" s="19">
        <f t="shared" si="34"/>
        <v>36520.476479999998</v>
      </c>
      <c r="I107" s="19">
        <f t="shared" si="34"/>
        <v>34676.192417760001</v>
      </c>
      <c r="J107" s="19">
        <f t="shared" si="34"/>
        <v>32925.044700663122</v>
      </c>
      <c r="K107" s="19">
        <f t="shared" si="34"/>
        <v>31259.03743880957</v>
      </c>
      <c r="L107" s="19">
        <f t="shared" si="34"/>
        <v>29674.204240661929</v>
      </c>
      <c r="M107" s="19">
        <f t="shared" si="34"/>
        <v>28169.722085660367</v>
      </c>
      <c r="N107" s="19">
        <f t="shared" si="34"/>
        <v>26738.700203708824</v>
      </c>
      <c r="O107" s="29">
        <f>-O21-O23</f>
        <v>24040.765353154598</v>
      </c>
      <c r="P107" s="29">
        <f t="shared" ref="P107:Y107" si="35">-P21-P23</f>
        <v>22814.686320143712</v>
      </c>
      <c r="Q107" s="29">
        <f t="shared" si="35"/>
        <v>21648.855849184365</v>
      </c>
      <c r="R107" s="29">
        <f t="shared" si="35"/>
        <v>20538.269544121209</v>
      </c>
      <c r="S107" s="29">
        <f t="shared" si="35"/>
        <v>19482.602489553381</v>
      </c>
      <c r="T107" s="29">
        <f t="shared" si="35"/>
        <v>18479.248461341384</v>
      </c>
      <c r="U107" s="29">
        <f t="shared" si="35"/>
        <v>17523.871315890032</v>
      </c>
      <c r="V107" s="29">
        <f t="shared" si="35"/>
        <v>16616.134781726931</v>
      </c>
      <c r="W107" s="29">
        <f t="shared" si="35"/>
        <v>15753.757386555302</v>
      </c>
      <c r="X107" s="29">
        <f t="shared" si="35"/>
        <v>14932.98662671577</v>
      </c>
      <c r="Y107" s="32">
        <f t="shared" si="35"/>
        <v>14151.991426138535</v>
      </c>
      <c r="Z107" s="19"/>
      <c r="AB107" s="2">
        <f t="shared" si="31"/>
        <v>353028.46480102092</v>
      </c>
    </row>
    <row r="108" spans="3:28" ht="28.2" x14ac:dyDescent="0.3">
      <c r="C108" s="128" t="s">
        <v>26</v>
      </c>
      <c r="D108" s="19"/>
      <c r="E108" s="19"/>
      <c r="F108" s="19">
        <f>-F100</f>
        <v>23492.432957566918</v>
      </c>
      <c r="G108" s="19">
        <f t="shared" ref="G108:Y108" si="36">-G100</f>
        <v>23200.750909965769</v>
      </c>
      <c r="H108" s="19">
        <f t="shared" si="36"/>
        <v>22912.690386667637</v>
      </c>
      <c r="I108" s="19">
        <f t="shared" si="36"/>
        <v>22625.823503026561</v>
      </c>
      <c r="J108" s="19">
        <f t="shared" si="36"/>
        <v>22342.548192768663</v>
      </c>
      <c r="K108" s="19">
        <f t="shared" si="36"/>
        <v>22060.495864383156</v>
      </c>
      <c r="L108" s="19">
        <f t="shared" si="36"/>
        <v>21779.709873021289</v>
      </c>
      <c r="M108" s="19">
        <f t="shared" si="36"/>
        <v>21502.497725757472</v>
      </c>
      <c r="N108" s="29">
        <f t="shared" si="36"/>
        <v>22271.385760725316</v>
      </c>
      <c r="O108" s="29">
        <f t="shared" si="36"/>
        <v>20825.171054966857</v>
      </c>
      <c r="P108" s="29">
        <f t="shared" si="36"/>
        <v>20553.610824410083</v>
      </c>
      <c r="Q108" s="29">
        <f t="shared" si="36"/>
        <v>20283.454163734034</v>
      </c>
      <c r="R108" s="29">
        <f t="shared" si="36"/>
        <v>20012.629483739856</v>
      </c>
      <c r="S108" s="29">
        <f t="shared" si="36"/>
        <v>19743.339541406654</v>
      </c>
      <c r="T108" s="29">
        <f t="shared" si="36"/>
        <v>19475.619857225181</v>
      </c>
      <c r="U108" s="29">
        <f t="shared" si="36"/>
        <v>19207.47952303091</v>
      </c>
      <c r="V108" s="29">
        <f t="shared" si="36"/>
        <v>18941.033367087424</v>
      </c>
      <c r="W108" s="29">
        <f t="shared" si="36"/>
        <v>18676.313484749015</v>
      </c>
      <c r="X108" s="29">
        <f t="shared" si="36"/>
        <v>18411.408654281331</v>
      </c>
      <c r="Y108" s="32">
        <f t="shared" si="36"/>
        <v>18146.431660928913</v>
      </c>
      <c r="Z108" s="19"/>
      <c r="AB108" s="2">
        <f>NPV(0.04,F108:Z108)</f>
        <v>287999.99999999983</v>
      </c>
    </row>
    <row r="109" spans="3:28" x14ac:dyDescent="0.3">
      <c r="C109" s="129" t="s">
        <v>19</v>
      </c>
      <c r="D109" s="19"/>
      <c r="E109" s="19"/>
      <c r="F109" s="39">
        <f>SUM(F104:F108)</f>
        <v>177564.96982431671</v>
      </c>
      <c r="G109" s="39">
        <f t="shared" ref="G109:Y109" si="37">SUM(G104:G108)</f>
        <v>185786.93115897803</v>
      </c>
      <c r="H109" s="39">
        <f t="shared" si="37"/>
        <v>198683.53971930817</v>
      </c>
      <c r="I109" s="39">
        <f t="shared" si="37"/>
        <v>191041.68406486404</v>
      </c>
      <c r="J109" s="39">
        <f t="shared" si="37"/>
        <v>201641.00796596688</v>
      </c>
      <c r="K109" s="39">
        <f t="shared" si="37"/>
        <v>210750.09596352861</v>
      </c>
      <c r="L109" s="39">
        <f t="shared" si="37"/>
        <v>202367.29074229373</v>
      </c>
      <c r="M109" s="39">
        <f t="shared" si="37"/>
        <v>209682.26228691323</v>
      </c>
      <c r="N109" s="46">
        <f t="shared" si="37"/>
        <v>220243.25958454685</v>
      </c>
      <c r="O109" s="46">
        <f t="shared" si="37"/>
        <v>213337.78862091299</v>
      </c>
      <c r="P109" s="46">
        <f t="shared" si="37"/>
        <v>217079.1741680929</v>
      </c>
      <c r="Q109" s="46">
        <f t="shared" si="37"/>
        <v>231705.33207735411</v>
      </c>
      <c r="R109" s="46">
        <f t="shared" si="37"/>
        <v>233145.23531615958</v>
      </c>
      <c r="S109" s="46">
        <f t="shared" si="37"/>
        <v>233885.31145112315</v>
      </c>
      <c r="T109" s="46">
        <f t="shared" si="37"/>
        <v>244028.01107480747</v>
      </c>
      <c r="U109" s="46">
        <f t="shared" si="37"/>
        <v>243013.40335739427</v>
      </c>
      <c r="V109" s="46">
        <f t="shared" si="37"/>
        <v>241504.96962130544</v>
      </c>
      <c r="W109" s="46">
        <f t="shared" si="37"/>
        <v>248110.96566066844</v>
      </c>
      <c r="X109" s="46">
        <f t="shared" si="37"/>
        <v>253404.06541209569</v>
      </c>
      <c r="Y109" s="48">
        <f t="shared" si="37"/>
        <v>242118.49305144063</v>
      </c>
      <c r="Z109" s="19"/>
      <c r="AB109" s="39">
        <f>SUM(AB104:AB108)</f>
        <v>2923886.4999957122</v>
      </c>
    </row>
    <row r="110" spans="3:28" x14ac:dyDescent="0.3">
      <c r="C110" s="129"/>
      <c r="D110" s="19"/>
      <c r="E110" s="19"/>
      <c r="F110" s="39"/>
      <c r="G110" s="19"/>
      <c r="H110" s="19"/>
      <c r="I110" s="19"/>
      <c r="J110" s="19"/>
      <c r="K110" s="19"/>
      <c r="L110" s="19"/>
      <c r="M110" s="19"/>
      <c r="N110" s="19"/>
      <c r="O110" s="19"/>
      <c r="P110" s="19"/>
      <c r="Q110" s="19"/>
      <c r="R110" s="19"/>
      <c r="S110" s="19"/>
      <c r="T110" s="19"/>
      <c r="U110" s="19"/>
      <c r="V110" s="19"/>
      <c r="W110" s="19"/>
      <c r="X110" s="19"/>
      <c r="Y110" s="22"/>
      <c r="Z110" s="19"/>
      <c r="AB110" s="31"/>
    </row>
    <row r="111" spans="3:28" x14ac:dyDescent="0.3">
      <c r="C111" s="112" t="s">
        <v>82</v>
      </c>
      <c r="D111" s="19"/>
      <c r="E111" s="19"/>
      <c r="F111" s="19">
        <f t="shared" ref="F111:Y111" si="38">F26</f>
        <v>-80000</v>
      </c>
      <c r="G111" s="19">
        <f t="shared" si="38"/>
        <v>-75968</v>
      </c>
      <c r="H111" s="19">
        <f t="shared" si="38"/>
        <v>-90174.016000000018</v>
      </c>
      <c r="I111" s="19">
        <f t="shared" si="38"/>
        <v>-85620.22819200001</v>
      </c>
      <c r="J111" s="19">
        <f t="shared" si="38"/>
        <v>-97555.688001964809</v>
      </c>
      <c r="K111" s="19">
        <f t="shared" si="38"/>
        <v>-108055.93188724296</v>
      </c>
      <c r="L111" s="19">
        <f t="shared" si="38"/>
        <v>-102577.49614055976</v>
      </c>
      <c r="M111" s="19">
        <f t="shared" si="38"/>
        <v>-111287.79095569528</v>
      </c>
      <c r="N111" s="19">
        <f t="shared" si="38"/>
        <v>-118838.66757203921</v>
      </c>
      <c r="O111" s="29">
        <f t="shared" si="38"/>
        <v>-118719.82890446715</v>
      </c>
      <c r="P111" s="29">
        <f t="shared" si="38"/>
        <v>-123931.62939337325</v>
      </c>
      <c r="Q111" s="29">
        <f t="shared" si="38"/>
        <v>-138980.30915525765</v>
      </c>
      <c r="R111" s="29">
        <f t="shared" si="38"/>
        <v>-141992.97462602318</v>
      </c>
      <c r="S111" s="29">
        <f t="shared" si="38"/>
        <v>-144315.5739966917</v>
      </c>
      <c r="T111" s="29">
        <f t="shared" si="38"/>
        <v>-155134.43152731037</v>
      </c>
      <c r="U111" s="29">
        <f t="shared" si="38"/>
        <v>-155767.74503013361</v>
      </c>
      <c r="V111" s="29">
        <f t="shared" si="38"/>
        <v>-155904.47449521563</v>
      </c>
      <c r="W111" s="29">
        <f t="shared" si="38"/>
        <v>-163372.29882353646</v>
      </c>
      <c r="X111" s="29">
        <f t="shared" si="38"/>
        <v>-169609.23082195688</v>
      </c>
      <c r="Y111" s="32">
        <f t="shared" si="38"/>
        <v>-160738.66804996855</v>
      </c>
      <c r="Z111" s="19"/>
      <c r="AB111" s="6">
        <f t="shared" ref="AB111:AB119" si="39">NPV(0.04,F111:Z111)</f>
        <v>-1608836.8936235206</v>
      </c>
    </row>
    <row r="112" spans="3:28" x14ac:dyDescent="0.3">
      <c r="C112" s="128" t="s">
        <v>83</v>
      </c>
      <c r="D112" s="19"/>
      <c r="E112" s="19"/>
      <c r="F112" s="19">
        <f t="shared" ref="F112:Y112" si="40">F21+F23</f>
        <v>-25000</v>
      </c>
      <c r="G112" s="19">
        <f t="shared" si="40"/>
        <v>-38458.800000000003</v>
      </c>
      <c r="H112" s="19">
        <f t="shared" si="40"/>
        <v>-36520.476479999998</v>
      </c>
      <c r="I112" s="19">
        <f t="shared" si="40"/>
        <v>-34676.192417760001</v>
      </c>
      <c r="J112" s="19">
        <f t="shared" si="40"/>
        <v>-32925.044700663122</v>
      </c>
      <c r="K112" s="19">
        <f t="shared" si="40"/>
        <v>-31259.03743880957</v>
      </c>
      <c r="L112" s="19">
        <f t="shared" si="40"/>
        <v>-29674.204240661929</v>
      </c>
      <c r="M112" s="19">
        <f t="shared" si="40"/>
        <v>-28169.722085660367</v>
      </c>
      <c r="N112" s="19">
        <f t="shared" si="40"/>
        <v>-26738.700203708824</v>
      </c>
      <c r="O112" s="29">
        <f t="shared" si="40"/>
        <v>-24040.765353154598</v>
      </c>
      <c r="P112" s="29">
        <f t="shared" si="40"/>
        <v>-22814.686320143712</v>
      </c>
      <c r="Q112" s="29">
        <f t="shared" si="40"/>
        <v>-21648.855849184365</v>
      </c>
      <c r="R112" s="29">
        <f t="shared" si="40"/>
        <v>-20538.269544121209</v>
      </c>
      <c r="S112" s="29">
        <f t="shared" si="40"/>
        <v>-19482.602489553381</v>
      </c>
      <c r="T112" s="29">
        <f t="shared" si="40"/>
        <v>-18479.248461341384</v>
      </c>
      <c r="U112" s="29">
        <f t="shared" si="40"/>
        <v>-17523.871315890032</v>
      </c>
      <c r="V112" s="29">
        <f t="shared" si="40"/>
        <v>-16616.134781726931</v>
      </c>
      <c r="W112" s="29">
        <f t="shared" si="40"/>
        <v>-15753.757386555302</v>
      </c>
      <c r="X112" s="29">
        <f t="shared" si="40"/>
        <v>-14932.98662671577</v>
      </c>
      <c r="Y112" s="32">
        <f t="shared" si="40"/>
        <v>-14151.991426138535</v>
      </c>
      <c r="Z112" s="19"/>
      <c r="AB112" s="6">
        <f t="shared" si="39"/>
        <v>-353028.46480102092</v>
      </c>
    </row>
    <row r="113" spans="2:30" x14ac:dyDescent="0.3">
      <c r="C113" s="112" t="s">
        <v>22</v>
      </c>
      <c r="D113" s="19"/>
      <c r="E113" s="19"/>
      <c r="F113" s="19">
        <f>F100</f>
        <v>-23492.432957566918</v>
      </c>
      <c r="G113" s="19">
        <f t="shared" ref="G113:Y113" si="41">G100</f>
        <v>-23200.750909965769</v>
      </c>
      <c r="H113" s="19">
        <f t="shared" si="41"/>
        <v>-22912.690386667637</v>
      </c>
      <c r="I113" s="19">
        <f t="shared" si="41"/>
        <v>-22625.823503026561</v>
      </c>
      <c r="J113" s="19">
        <f t="shared" si="41"/>
        <v>-22342.548192768663</v>
      </c>
      <c r="K113" s="19">
        <f t="shared" si="41"/>
        <v>-22060.495864383156</v>
      </c>
      <c r="L113" s="19">
        <f t="shared" si="41"/>
        <v>-21779.709873021289</v>
      </c>
      <c r="M113" s="19">
        <f t="shared" si="41"/>
        <v>-21502.497725757472</v>
      </c>
      <c r="N113" s="29">
        <f t="shared" si="41"/>
        <v>-22271.385760725316</v>
      </c>
      <c r="O113" s="29">
        <f t="shared" si="41"/>
        <v>-20825.171054966857</v>
      </c>
      <c r="P113" s="29">
        <f t="shared" si="41"/>
        <v>-20553.610824410083</v>
      </c>
      <c r="Q113" s="29">
        <f t="shared" si="41"/>
        <v>-20283.454163734034</v>
      </c>
      <c r="R113" s="29">
        <f t="shared" si="41"/>
        <v>-20012.629483739856</v>
      </c>
      <c r="S113" s="29">
        <f t="shared" si="41"/>
        <v>-19743.339541406654</v>
      </c>
      <c r="T113" s="29">
        <f t="shared" si="41"/>
        <v>-19475.619857225181</v>
      </c>
      <c r="U113" s="29">
        <f t="shared" si="41"/>
        <v>-19207.47952303091</v>
      </c>
      <c r="V113" s="29">
        <f t="shared" si="41"/>
        <v>-18941.033367087424</v>
      </c>
      <c r="W113" s="29">
        <f t="shared" si="41"/>
        <v>-18676.313484749015</v>
      </c>
      <c r="X113" s="29">
        <f t="shared" si="41"/>
        <v>-18411.408654281331</v>
      </c>
      <c r="Y113" s="32">
        <f t="shared" si="41"/>
        <v>-18146.431660928913</v>
      </c>
      <c r="Z113" s="19"/>
      <c r="AB113" s="6">
        <f t="shared" si="39"/>
        <v>-287999.99999999983</v>
      </c>
    </row>
    <row r="114" spans="2:30" ht="28.2" x14ac:dyDescent="0.3">
      <c r="C114" s="130" t="s">
        <v>87</v>
      </c>
      <c r="D114" s="19"/>
      <c r="E114" s="19"/>
      <c r="F114" s="39">
        <f>SUM(F111:F113)</f>
        <v>-128492.43295756693</v>
      </c>
      <c r="G114" s="39">
        <f t="shared" ref="G114:Y114" si="42">SUM(G111:G113)</f>
        <v>-137627.55090996576</v>
      </c>
      <c r="H114" s="39">
        <f t="shared" si="42"/>
        <v>-149607.18286666766</v>
      </c>
      <c r="I114" s="39">
        <f t="shared" si="42"/>
        <v>-142922.24411278657</v>
      </c>
      <c r="J114" s="39">
        <f t="shared" si="42"/>
        <v>-152823.2808953966</v>
      </c>
      <c r="K114" s="39">
        <f t="shared" si="42"/>
        <v>-161375.46519043567</v>
      </c>
      <c r="L114" s="39">
        <f t="shared" si="42"/>
        <v>-154031.41025424298</v>
      </c>
      <c r="M114" s="39">
        <f t="shared" si="42"/>
        <v>-160960.01076711313</v>
      </c>
      <c r="N114" s="46">
        <f t="shared" si="42"/>
        <v>-167848.75353647332</v>
      </c>
      <c r="O114" s="46">
        <f t="shared" si="42"/>
        <v>-163585.76531258863</v>
      </c>
      <c r="P114" s="46">
        <f t="shared" si="42"/>
        <v>-167299.92653792704</v>
      </c>
      <c r="Q114" s="46">
        <f t="shared" si="42"/>
        <v>-180912.61916817605</v>
      </c>
      <c r="R114" s="46">
        <f t="shared" si="42"/>
        <v>-182543.87365388422</v>
      </c>
      <c r="S114" s="46">
        <f t="shared" si="42"/>
        <v>-183541.51602765176</v>
      </c>
      <c r="T114" s="46">
        <f t="shared" si="42"/>
        <v>-193089.29984587696</v>
      </c>
      <c r="U114" s="46">
        <f t="shared" si="42"/>
        <v>-192499.09586905455</v>
      </c>
      <c r="V114" s="46">
        <f t="shared" si="42"/>
        <v>-191461.64264402998</v>
      </c>
      <c r="W114" s="46">
        <f t="shared" si="42"/>
        <v>-197802.3696948408</v>
      </c>
      <c r="X114" s="46">
        <f t="shared" si="42"/>
        <v>-202953.62610295397</v>
      </c>
      <c r="Y114" s="48">
        <f t="shared" si="42"/>
        <v>-193037.09113703598</v>
      </c>
      <c r="Z114" s="19"/>
      <c r="AB114" s="39">
        <f>SUM(AB111:AB113)</f>
        <v>-2249865.3584245415</v>
      </c>
    </row>
    <row r="115" spans="2:30" x14ac:dyDescent="0.3">
      <c r="C115" s="131"/>
      <c r="D115" s="19"/>
      <c r="E115" s="19"/>
      <c r="F115" s="19"/>
      <c r="G115" s="19"/>
      <c r="H115" s="19"/>
      <c r="I115" s="19"/>
      <c r="J115" s="19"/>
      <c r="K115" s="19"/>
      <c r="L115" s="19"/>
      <c r="M115" s="19"/>
      <c r="N115" s="19"/>
      <c r="O115" s="19"/>
      <c r="P115" s="19"/>
      <c r="Q115" s="19"/>
      <c r="R115" s="19"/>
      <c r="S115" s="19"/>
      <c r="T115" s="19"/>
      <c r="U115" s="19"/>
      <c r="V115" s="19"/>
      <c r="W115" s="19"/>
      <c r="X115" s="19"/>
      <c r="Y115" s="22"/>
      <c r="Z115" s="19"/>
      <c r="AB115" s="6"/>
    </row>
    <row r="116" spans="2:30" x14ac:dyDescent="0.3">
      <c r="C116" s="133" t="s">
        <v>21</v>
      </c>
      <c r="D116" s="19"/>
      <c r="E116" s="19"/>
      <c r="F116" s="39">
        <f t="shared" ref="F116:Y116" si="43">F24+F25</f>
        <v>-75000</v>
      </c>
      <c r="G116" s="39">
        <f t="shared" si="43"/>
        <v>-14244</v>
      </c>
      <c r="H116" s="39">
        <f t="shared" si="43"/>
        <v>-13526.102400000002</v>
      </c>
      <c r="I116" s="39">
        <f t="shared" si="43"/>
        <v>-12843.034228800003</v>
      </c>
      <c r="J116" s="39">
        <f t="shared" si="43"/>
        <v>-12194.461000245601</v>
      </c>
      <c r="K116" s="39">
        <f t="shared" si="43"/>
        <v>-11577.421273633174</v>
      </c>
      <c r="L116" s="39">
        <f t="shared" si="43"/>
        <v>-10990.446015059973</v>
      </c>
      <c r="M116" s="39">
        <f t="shared" si="43"/>
        <v>-10433.230402096431</v>
      </c>
      <c r="N116" s="39">
        <f t="shared" si="43"/>
        <v>-9903.2222976699322</v>
      </c>
      <c r="O116" s="46">
        <f t="shared" si="43"/>
        <v>-8903.9871678350373</v>
      </c>
      <c r="P116" s="46">
        <f t="shared" si="43"/>
        <v>-8449.8838222754493</v>
      </c>
      <c r="Q116" s="46">
        <f t="shared" si="43"/>
        <v>-8018.0947589571724</v>
      </c>
      <c r="R116" s="46">
        <f t="shared" si="43"/>
        <v>-7606.7664978226703</v>
      </c>
      <c r="S116" s="46">
        <f t="shared" si="43"/>
        <v>-7215.7786998345846</v>
      </c>
      <c r="T116" s="46">
        <f t="shared" si="43"/>
        <v>-6844.1660967931039</v>
      </c>
      <c r="U116" s="46">
        <f t="shared" si="43"/>
        <v>-6490.3227095889006</v>
      </c>
      <c r="V116" s="46">
        <f t="shared" si="43"/>
        <v>-6154.123993232196</v>
      </c>
      <c r="W116" s="46">
        <f t="shared" si="43"/>
        <v>-5834.7249579834452</v>
      </c>
      <c r="X116" s="46">
        <f t="shared" si="43"/>
        <v>-5530.7357876725073</v>
      </c>
      <c r="Y116" s="48">
        <f t="shared" si="43"/>
        <v>-5241.4783059772353</v>
      </c>
      <c r="Z116" s="19"/>
      <c r="AB116" s="3">
        <f>NPV(0.04,F25:Y25)+F24</f>
        <v>-196271.22627958041</v>
      </c>
    </row>
    <row r="117" spans="2:30" x14ac:dyDescent="0.3">
      <c r="C117" s="125"/>
      <c r="D117" s="19"/>
      <c r="E117" s="19"/>
      <c r="F117" s="19"/>
      <c r="G117" s="19"/>
      <c r="H117" s="19"/>
      <c r="I117" s="19"/>
      <c r="J117" s="19"/>
      <c r="K117" s="19"/>
      <c r="L117" s="19"/>
      <c r="M117" s="19"/>
      <c r="N117" s="19"/>
      <c r="O117" s="19"/>
      <c r="P117" s="19"/>
      <c r="Q117" s="19"/>
      <c r="R117" s="19"/>
      <c r="S117" s="19"/>
      <c r="T117" s="19"/>
      <c r="U117" s="19"/>
      <c r="V117" s="19"/>
      <c r="W117" s="19"/>
      <c r="X117" s="19"/>
      <c r="Y117" s="22"/>
      <c r="Z117" s="19"/>
      <c r="AB117" s="6"/>
    </row>
    <row r="118" spans="2:30" x14ac:dyDescent="0.3">
      <c r="C118" s="122" t="s">
        <v>84</v>
      </c>
      <c r="D118" s="19"/>
      <c r="E118" s="19"/>
      <c r="F118" s="19">
        <f>SUM(F86:F87)*Assumptions!D17+SUM(F8:F11)*Assumptions!D17</f>
        <v>990</v>
      </c>
      <c r="G118" s="19">
        <f>SUM(G86:G87)*Assumptions!E17+SUM(G8:G11)*Assumptions!E17</f>
        <v>6680.9098409962617</v>
      </c>
      <c r="H118" s="19">
        <f>SUM(H86:H87)*Assumptions!F17+SUM(H8:H11)*Assumptions!F17</f>
        <v>12244.425593830558</v>
      </c>
      <c r="I118" s="19">
        <f>SUM(I86:I87)*Assumptions!G17+SUM(I8:I11)*Assumptions!G17</f>
        <v>16800.298900359758</v>
      </c>
      <c r="J118" s="19">
        <f>SUM(J86:J87)*Assumptions!H17+SUM(J8:J11)*Assumptions!H17</f>
        <v>21264.604516447653</v>
      </c>
      <c r="K118" s="19">
        <f>SUM(K86:K87)*Assumptions!I17+SUM(K8:K11)*Assumptions!I17</f>
        <v>24842.45213907797</v>
      </c>
      <c r="L118" s="19">
        <f>SUM(L86:L87)*Assumptions!J17+SUM(L8:L11)*Assumptions!J17</f>
        <v>27593.527363708974</v>
      </c>
      <c r="M118" s="19">
        <f>SUM(M86:M87)*Assumptions!K17+SUM(M8:M11)*Assumptions!K17</f>
        <v>30299.642119092561</v>
      </c>
      <c r="N118" s="19">
        <f>SUM(N86:N87)*Assumptions!L17+SUM(N8:N11)*Assumptions!L17</f>
        <v>32278.180512293118</v>
      </c>
      <c r="O118" s="29">
        <f>SUM(O86:O87)*Assumptions!M17+SUM(O8:O11)*Assumptions!M17</f>
        <v>33425.220755336355</v>
      </c>
      <c r="P118" s="29">
        <f>SUM(P86:P87)*Assumptions!N17+SUM(P8:P11)*Assumptions!N17</f>
        <v>33938.859344471959</v>
      </c>
      <c r="Q118" s="29">
        <f>SUM(Q86:Q87)*Assumptions!O17+SUM(Q8:Q11)*Assumptions!O17</f>
        <v>33891.848278557482</v>
      </c>
      <c r="R118" s="29">
        <f>SUM(R86:R87)*Assumptions!P17+SUM(R8:R11)*Assumptions!P17</f>
        <v>32790.989788321553</v>
      </c>
      <c r="S118" s="29">
        <f>SUM(S86:S87)*Assumptions!Q17+SUM(S8:S11)*Assumptions!Q17</f>
        <v>31206.357478443759</v>
      </c>
      <c r="T118" s="29">
        <f>SUM(T86:T87)*Assumptions!R17+SUM(T8:T11)*Assumptions!R17</f>
        <v>29168.138094186477</v>
      </c>
      <c r="U118" s="29">
        <f>SUM(U86:U87)*Assumptions!S17+SUM(U8:U11)*Assumptions!S17</f>
        <v>26251.623822198373</v>
      </c>
      <c r="V118" s="29">
        <f>SUM(V86:V87)*Assumptions!T17+SUM(V8:V11)*Assumptions!T17</f>
        <v>22940.11706228121</v>
      </c>
      <c r="W118" s="29">
        <f>SUM(W86:W87)*Assumptions!U17+SUM(W8:W11)*Assumptions!U17</f>
        <v>19255.703325755836</v>
      </c>
      <c r="X118" s="29">
        <f>SUM(X86:X87)*Assumptions!V17+SUM(X8:X11)*Assumptions!V17</f>
        <v>14832.689175333157</v>
      </c>
      <c r="Y118" s="32">
        <f>SUM(Y86:Y87)*Assumptions!W17+SUM(Y8:Y11)*Assumptions!W17</f>
        <v>9714.2710048986864</v>
      </c>
      <c r="Z118" s="19"/>
      <c r="AB118" s="6">
        <f t="shared" si="39"/>
        <v>301750.66295479541</v>
      </c>
    </row>
    <row r="119" spans="2:30" x14ac:dyDescent="0.3">
      <c r="C119" s="126" t="s">
        <v>85</v>
      </c>
      <c r="D119" s="19"/>
      <c r="E119" s="19"/>
      <c r="F119" s="19">
        <f>-F91</f>
        <v>-880</v>
      </c>
      <c r="G119" s="19">
        <f t="shared" ref="G119:Y119" si="44">-G91</f>
        <v>-5938.5865253300071</v>
      </c>
      <c r="H119" s="19">
        <f t="shared" si="44"/>
        <v>-10883.933861182722</v>
      </c>
      <c r="I119" s="19">
        <f t="shared" si="44"/>
        <v>-14933.59902254201</v>
      </c>
      <c r="J119" s="19">
        <f t="shared" si="44"/>
        <v>-18901.8706812868</v>
      </c>
      <c r="K119" s="19">
        <f t="shared" si="44"/>
        <v>-22082.179679180415</v>
      </c>
      <c r="L119" s="19">
        <f t="shared" si="44"/>
        <v>-24527.579878852423</v>
      </c>
      <c r="M119" s="19">
        <f t="shared" si="44"/>
        <v>-26933.015216971166</v>
      </c>
      <c r="N119" s="19">
        <f t="shared" si="44"/>
        <v>-28691.716010927219</v>
      </c>
      <c r="O119" s="29">
        <f t="shared" si="44"/>
        <v>-29322.440809188251</v>
      </c>
      <c r="P119" s="29">
        <f t="shared" si="44"/>
        <v>-29798.840636948771</v>
      </c>
      <c r="Q119" s="29">
        <f t="shared" si="44"/>
        <v>-29775.910677367829</v>
      </c>
      <c r="R119" s="29">
        <f t="shared" si="44"/>
        <v>-28815.333860911378</v>
      </c>
      <c r="S119" s="29">
        <f t="shared" si="44"/>
        <v>-27423.847536231133</v>
      </c>
      <c r="T119" s="29">
        <f t="shared" si="44"/>
        <v>-25628.32652223307</v>
      </c>
      <c r="U119" s="29">
        <f t="shared" si="44"/>
        <v>-23051.322901017033</v>
      </c>
      <c r="V119" s="29">
        <f t="shared" si="44"/>
        <v>-20122.444245031205</v>
      </c>
      <c r="W119" s="29">
        <f t="shared" si="44"/>
        <v>-16861.359023386995</v>
      </c>
      <c r="X119" s="29">
        <f t="shared" si="44"/>
        <v>-12943.067100801156</v>
      </c>
      <c r="Y119" s="32">
        <f t="shared" si="44"/>
        <v>-8405.9948900385443</v>
      </c>
      <c r="Z119" s="19"/>
      <c r="AB119" s="6">
        <f t="shared" si="39"/>
        <v>-266319.96983142191</v>
      </c>
    </row>
    <row r="120" spans="2:30" x14ac:dyDescent="0.3">
      <c r="C120" s="132" t="s">
        <v>86</v>
      </c>
      <c r="D120" s="19"/>
      <c r="E120" s="19"/>
      <c r="F120" s="39">
        <f>SUM(F118:F119)</f>
        <v>110</v>
      </c>
      <c r="G120" s="39">
        <f t="shared" ref="G120:Y120" si="45">SUM(G118:G119)</f>
        <v>742.32331566625453</v>
      </c>
      <c r="H120" s="39">
        <f t="shared" si="45"/>
        <v>1360.4917326478353</v>
      </c>
      <c r="I120" s="39">
        <f t="shared" si="45"/>
        <v>1866.6998778177476</v>
      </c>
      <c r="J120" s="39">
        <f t="shared" si="45"/>
        <v>2362.7338351608523</v>
      </c>
      <c r="K120" s="39">
        <f t="shared" si="45"/>
        <v>2760.2724598975547</v>
      </c>
      <c r="L120" s="39">
        <f t="shared" si="45"/>
        <v>3065.9474848565515</v>
      </c>
      <c r="M120" s="39">
        <f t="shared" si="45"/>
        <v>3366.6269021213957</v>
      </c>
      <c r="N120" s="39">
        <f t="shared" si="45"/>
        <v>3586.4645013658992</v>
      </c>
      <c r="O120" s="46">
        <f t="shared" si="45"/>
        <v>4102.7799461481045</v>
      </c>
      <c r="P120" s="46">
        <f t="shared" si="45"/>
        <v>4140.0187075231879</v>
      </c>
      <c r="Q120" s="46">
        <f t="shared" si="45"/>
        <v>4115.9376011896529</v>
      </c>
      <c r="R120" s="46">
        <f t="shared" si="45"/>
        <v>3975.6559274101746</v>
      </c>
      <c r="S120" s="46">
        <f t="shared" si="45"/>
        <v>3782.5099422126259</v>
      </c>
      <c r="T120" s="46">
        <f t="shared" si="45"/>
        <v>3539.8115719534071</v>
      </c>
      <c r="U120" s="46">
        <f t="shared" si="45"/>
        <v>3200.3009211813405</v>
      </c>
      <c r="V120" s="46">
        <f t="shared" si="45"/>
        <v>2817.6728172500043</v>
      </c>
      <c r="W120" s="46">
        <f t="shared" si="45"/>
        <v>2394.3443023688415</v>
      </c>
      <c r="X120" s="46">
        <f t="shared" si="45"/>
        <v>1889.6220745320006</v>
      </c>
      <c r="Y120" s="48">
        <f t="shared" si="45"/>
        <v>1308.2761148601421</v>
      </c>
      <c r="Z120" s="19"/>
      <c r="AB120" s="39">
        <f>SUM(AB118:AB119)</f>
        <v>35430.693123373494</v>
      </c>
      <c r="AC120" s="7"/>
      <c r="AD120" s="7"/>
    </row>
    <row r="121" spans="2:30" x14ac:dyDescent="0.3">
      <c r="C121" s="125"/>
      <c r="D121" s="19"/>
      <c r="E121" s="19"/>
      <c r="F121" s="19"/>
      <c r="G121" s="19"/>
      <c r="H121" s="19"/>
      <c r="I121" s="19"/>
      <c r="J121" s="19"/>
      <c r="K121" s="19"/>
      <c r="L121" s="19"/>
      <c r="M121" s="19"/>
      <c r="N121" s="19"/>
      <c r="O121" s="19"/>
      <c r="P121" s="19"/>
      <c r="Q121" s="19"/>
      <c r="R121" s="19"/>
      <c r="S121" s="19"/>
      <c r="T121" s="19"/>
      <c r="U121" s="19"/>
      <c r="V121" s="19"/>
      <c r="W121" s="19"/>
      <c r="X121" s="19"/>
      <c r="Y121" s="22"/>
      <c r="Z121" s="19"/>
      <c r="AB121" s="6"/>
      <c r="AC121" s="7" t="s">
        <v>3</v>
      </c>
      <c r="AD121" s="7" t="s">
        <v>4</v>
      </c>
    </row>
    <row r="122" spans="2:30" x14ac:dyDescent="0.3">
      <c r="C122" s="133" t="s">
        <v>20</v>
      </c>
      <c r="D122" s="23"/>
      <c r="E122" s="23"/>
      <c r="F122" s="45">
        <f t="shared" ref="F122:Y122" si="46">F109+F114+F116+F120</f>
        <v>-25817.463133250218</v>
      </c>
      <c r="G122" s="45">
        <f>G109+G114+G116+G120</f>
        <v>34657.703564678515</v>
      </c>
      <c r="H122" s="45">
        <f t="shared" si="46"/>
        <v>36910.746185288343</v>
      </c>
      <c r="I122" s="45">
        <f t="shared" si="46"/>
        <v>37143.105601095202</v>
      </c>
      <c r="J122" s="45">
        <f t="shared" si="46"/>
        <v>38985.999905485529</v>
      </c>
      <c r="K122" s="45">
        <f t="shared" si="46"/>
        <v>40557.481959357319</v>
      </c>
      <c r="L122" s="45">
        <f t="shared" si="46"/>
        <v>40411.381957847327</v>
      </c>
      <c r="M122" s="45">
        <f t="shared" si="46"/>
        <v>41655.648019825072</v>
      </c>
      <c r="N122" s="47">
        <f t="shared" si="46"/>
        <v>46077.748251769488</v>
      </c>
      <c r="O122" s="47">
        <f t="shared" si="46"/>
        <v>44950.816086637431</v>
      </c>
      <c r="P122" s="47">
        <f t="shared" si="46"/>
        <v>45469.382515413599</v>
      </c>
      <c r="Q122" s="47">
        <f t="shared" si="46"/>
        <v>46890.555751410531</v>
      </c>
      <c r="R122" s="47">
        <f t="shared" si="46"/>
        <v>46970.251091862869</v>
      </c>
      <c r="S122" s="47">
        <f t="shared" si="46"/>
        <v>46910.526665849437</v>
      </c>
      <c r="T122" s="47">
        <f t="shared" si="46"/>
        <v>47634.356704090809</v>
      </c>
      <c r="U122" s="47">
        <f t="shared" si="46"/>
        <v>47224.285699932159</v>
      </c>
      <c r="V122" s="47">
        <f t="shared" si="46"/>
        <v>46706.875801293267</v>
      </c>
      <c r="W122" s="47">
        <f t="shared" si="46"/>
        <v>46868.21531021304</v>
      </c>
      <c r="X122" s="47">
        <f t="shared" si="46"/>
        <v>46809.32559600121</v>
      </c>
      <c r="Y122" s="49">
        <f t="shared" si="46"/>
        <v>45148.199723287551</v>
      </c>
      <c r="Z122" s="19"/>
      <c r="AB122" s="3">
        <f>AB109+AB114+AB116+AB120</f>
        <v>513180.60841496376</v>
      </c>
      <c r="AC122" s="2">
        <f>NPV(0.04,F118:Y118)+NPV(0.04,F119:Y119)</f>
        <v>35430.693123373494</v>
      </c>
      <c r="AD122" s="3">
        <f>AB122-AC122</f>
        <v>477749.91529159027</v>
      </c>
    </row>
    <row r="124" spans="2:30" x14ac:dyDescent="0.3">
      <c r="C124" s="50" t="s">
        <v>90</v>
      </c>
      <c r="F124" s="2">
        <f>Base!F125</f>
        <v>-25817.46313325021</v>
      </c>
      <c r="G124" s="2">
        <f>Base!G125</f>
        <v>34657.703564678479</v>
      </c>
      <c r="H124" s="2">
        <f>Base!H125</f>
        <v>36910.746185288328</v>
      </c>
      <c r="I124" s="2">
        <f>Base!I125</f>
        <v>37143.105601095187</v>
      </c>
      <c r="J124" s="2">
        <f>Base!J125</f>
        <v>38985.999905485543</v>
      </c>
      <c r="K124" s="2">
        <f>Base!K125</f>
        <v>40557.481959357297</v>
      </c>
      <c r="L124" s="2">
        <f>Base!L125</f>
        <v>40411.381957847341</v>
      </c>
      <c r="M124" s="2">
        <f>Base!M125</f>
        <v>41655.648019825072</v>
      </c>
      <c r="N124" s="2">
        <f>Base!N125</f>
        <v>42678.181946982731</v>
      </c>
      <c r="O124" s="2">
        <f>Base!O125</f>
        <v>43494.964822291251</v>
      </c>
      <c r="P124" s="2">
        <f>Base!P125</f>
        <v>44120.927110137804</v>
      </c>
      <c r="Q124" s="2">
        <f>Base!Q125</f>
        <v>45698.538910574098</v>
      </c>
      <c r="R124" s="2">
        <f>Base!R125</f>
        <v>45859.359658434318</v>
      </c>
      <c r="S124" s="2">
        <f>Base!S125</f>
        <v>45871.955769611115</v>
      </c>
      <c r="T124" s="2">
        <f>Base!T125</f>
        <v>46710.684752027963</v>
      </c>
      <c r="U124" s="2">
        <f>Base!U125</f>
        <v>46351.874995368751</v>
      </c>
      <c r="V124" s="2">
        <f>Base!V125</f>
        <v>45878.853268806903</v>
      </c>
      <c r="W124" s="2">
        <f>Base!W125</f>
        <v>46121.474552089785</v>
      </c>
      <c r="X124" s="2">
        <f>Base!X125</f>
        <v>46131.160276174189</v>
      </c>
      <c r="Y124" s="2">
        <f>Base!Y125</f>
        <v>44449.077750659875</v>
      </c>
      <c r="Z124" s="19"/>
    </row>
    <row r="125" spans="2:30" x14ac:dyDescent="0.3">
      <c r="B125" s="4"/>
      <c r="C125" s="2" t="s">
        <v>91</v>
      </c>
      <c r="F125" s="2">
        <f>F122-F124</f>
        <v>0</v>
      </c>
      <c r="G125" s="2">
        <f t="shared" ref="G125:Y125" si="47">G122-G124</f>
        <v>0</v>
      </c>
      <c r="H125" s="2">
        <f t="shared" si="47"/>
        <v>0</v>
      </c>
      <c r="I125" s="2">
        <f t="shared" si="47"/>
        <v>0</v>
      </c>
      <c r="J125" s="2">
        <f t="shared" si="47"/>
        <v>0</v>
      </c>
      <c r="K125" s="2">
        <f t="shared" si="47"/>
        <v>0</v>
      </c>
      <c r="L125" s="2">
        <f t="shared" si="47"/>
        <v>0</v>
      </c>
      <c r="M125" s="2">
        <f t="shared" si="47"/>
        <v>0</v>
      </c>
      <c r="N125" s="2">
        <f t="shared" si="47"/>
        <v>3399.5663047867565</v>
      </c>
      <c r="O125" s="2">
        <f t="shared" si="47"/>
        <v>1455.85126434618</v>
      </c>
      <c r="P125" s="2">
        <f t="shared" si="47"/>
        <v>1348.4554052757958</v>
      </c>
      <c r="Q125" s="2">
        <f t="shared" si="47"/>
        <v>1192.0168408364334</v>
      </c>
      <c r="R125" s="2">
        <f t="shared" si="47"/>
        <v>1110.891433428551</v>
      </c>
      <c r="S125" s="2">
        <f t="shared" si="47"/>
        <v>1038.5708962383214</v>
      </c>
      <c r="T125" s="2">
        <f t="shared" si="47"/>
        <v>923.67195206284669</v>
      </c>
      <c r="U125" s="2">
        <f t="shared" si="47"/>
        <v>872.41070456340822</v>
      </c>
      <c r="V125" s="2">
        <f t="shared" si="47"/>
        <v>828.02253248636407</v>
      </c>
      <c r="W125" s="2">
        <f t="shared" si="47"/>
        <v>746.74075812325464</v>
      </c>
      <c r="X125" s="2">
        <f t="shared" si="47"/>
        <v>678.16531982702145</v>
      </c>
      <c r="Y125" s="2">
        <f t="shared" si="47"/>
        <v>699.12197262767586</v>
      </c>
    </row>
    <row r="126" spans="2:30" x14ac:dyDescent="0.3">
      <c r="B126" s="4"/>
    </row>
    <row r="135" spans="2:25" x14ac:dyDescent="0.3">
      <c r="B135" s="5"/>
      <c r="C135" s="6"/>
    </row>
    <row r="136" spans="2:25" x14ac:dyDescent="0.3">
      <c r="B136" s="10"/>
      <c r="C136" s="6"/>
    </row>
    <row r="137" spans="2:25" x14ac:dyDescent="0.3">
      <c r="C137" s="6"/>
    </row>
    <row r="138" spans="2:25" x14ac:dyDescent="0.3">
      <c r="C138" s="6"/>
    </row>
    <row r="139" spans="2:25" x14ac:dyDescent="0.3">
      <c r="C139" s="6"/>
    </row>
    <row r="140" spans="2:25" x14ac:dyDescent="0.3">
      <c r="C140" s="6"/>
    </row>
    <row r="141" spans="2:25" x14ac:dyDescent="0.3">
      <c r="C141" s="6"/>
      <c r="F141" s="11"/>
    </row>
    <row r="142" spans="2:25" x14ac:dyDescent="0.3">
      <c r="C142" s="7"/>
      <c r="F142" s="12"/>
    </row>
    <row r="143" spans="2:25" x14ac:dyDescent="0.3">
      <c r="F143" s="8"/>
      <c r="G143" s="8"/>
      <c r="H143" s="8"/>
      <c r="I143" s="8"/>
      <c r="J143" s="8"/>
      <c r="K143" s="8"/>
      <c r="L143" s="8"/>
      <c r="M143" s="8"/>
      <c r="N143" s="8"/>
      <c r="O143" s="8"/>
      <c r="P143" s="8"/>
      <c r="Q143" s="8"/>
      <c r="R143" s="8"/>
      <c r="S143" s="8"/>
      <c r="T143" s="8"/>
      <c r="U143" s="8"/>
      <c r="V143" s="8"/>
      <c r="W143" s="8"/>
      <c r="X143" s="8"/>
      <c r="Y143" s="8"/>
    </row>
    <row r="153" spans="2:25" x14ac:dyDescent="0.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2:25" x14ac:dyDescent="0.3">
      <c r="C154" s="9"/>
    </row>
    <row r="160" spans="2:25" x14ac:dyDescent="0.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3:3" x14ac:dyDescent="0.3">
      <c r="C161" s="9"/>
    </row>
    <row r="162" spans="3:3" x14ac:dyDescent="0.3">
      <c r="C162" s="9"/>
    </row>
    <row r="163" spans="3:3" x14ac:dyDescent="0.3">
      <c r="C163" s="9"/>
    </row>
    <row r="164" spans="3:3" x14ac:dyDescent="0.3">
      <c r="C164" s="9"/>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vt:i4>
      </vt:variant>
    </vt:vector>
  </HeadingPairs>
  <TitlesOfParts>
    <vt:vector size="6" baseType="lpstr">
      <vt:lpstr>Read me</vt:lpstr>
      <vt:lpstr>Assumptions</vt:lpstr>
      <vt:lpstr>Base</vt:lpstr>
      <vt:lpstr>Expense Shock</vt:lpstr>
      <vt:lpstr>Lapse Shock</vt:lpstr>
      <vt:lpstr>'Read me'!Область_друку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Andrii.Andrusiv@bank.gov.ua</dc:creator>
  <cp:lastModifiedBy>Сіухіна Катерина Миколаївна</cp:lastModifiedBy>
  <cp:lastPrinted>2019-10-30T13:32:01Z</cp:lastPrinted>
  <dcterms:created xsi:type="dcterms:W3CDTF">2017-10-24T17:27:01Z</dcterms:created>
  <dcterms:modified xsi:type="dcterms:W3CDTF">2022-09-23T12:15:49Z</dcterms:modified>
</cp:coreProperties>
</file>