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011418\Documents\Transcend\все 16.03.2020\1 НПА діючі\1 Страхування НФУ\семінари для страхових\презентації\"/>
    </mc:Choice>
  </mc:AlternateContent>
  <bookViews>
    <workbookView xWindow="0" yWindow="0" windowWidth="15360" windowHeight="7608" tabRatio="780"/>
  </bookViews>
  <sheets>
    <sheet name="Read me" sheetId="23" r:id="rId1"/>
    <sheet name="ОСЦПВ" sheetId="24" r:id="rId2"/>
    <sheet name="Зелена картка_прибуткові" sheetId="25" r:id="rId3"/>
    <sheet name="Зелена картка_обтяжливі" sheetId="26" r:id="rId4"/>
    <sheet name="Узгодження" sheetId="27" r:id="rId5"/>
  </sheets>
  <definedNames>
    <definedName name="_xlnm.Print_Area" localSheetId="0">'Read me'!$B$1:$M$25</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26" l="1"/>
  <c r="I49" i="25"/>
  <c r="G47" i="26"/>
  <c r="H47" i="26"/>
  <c r="I47" i="26"/>
  <c r="M62" i="25"/>
  <c r="M59" i="25"/>
  <c r="M61" i="25"/>
  <c r="M55" i="25"/>
  <c r="R46" i="24"/>
  <c r="G56" i="24"/>
  <c r="H56" i="24"/>
  <c r="I56" i="24"/>
  <c r="J56" i="24"/>
  <c r="K56" i="24"/>
  <c r="L56" i="24"/>
  <c r="M56" i="24"/>
  <c r="N56" i="24"/>
  <c r="O56" i="24"/>
  <c r="P56" i="24"/>
  <c r="Q56" i="24"/>
  <c r="S56" i="24"/>
  <c r="T56" i="24"/>
  <c r="U56" i="24"/>
  <c r="V56" i="24"/>
  <c r="W56" i="24"/>
  <c r="X56" i="24"/>
  <c r="Y56" i="24"/>
  <c r="Z56" i="24"/>
  <c r="AA56" i="24"/>
  <c r="AB56" i="24"/>
  <c r="AC56" i="24"/>
  <c r="G47" i="24"/>
  <c r="H47" i="24"/>
  <c r="I47" i="24"/>
  <c r="J47" i="24"/>
  <c r="K47" i="24"/>
  <c r="L47" i="24"/>
  <c r="M47" i="24"/>
  <c r="N47" i="24"/>
  <c r="O47" i="24"/>
  <c r="P47" i="24"/>
  <c r="Q47" i="24"/>
  <c r="S47" i="24"/>
  <c r="T47" i="24"/>
  <c r="U47" i="24"/>
  <c r="V47" i="24"/>
  <c r="W47" i="24"/>
  <c r="X47" i="24"/>
  <c r="Y47" i="24"/>
  <c r="Z47" i="24"/>
  <c r="AA47" i="24"/>
  <c r="AB47" i="24"/>
  <c r="AC47" i="24"/>
  <c r="E8" i="27"/>
  <c r="F14" i="26" l="1"/>
  <c r="E17" i="26"/>
  <c r="F18" i="25"/>
  <c r="G50" i="24"/>
  <c r="D11" i="27" l="1"/>
  <c r="C11" i="27"/>
  <c r="C5" i="27"/>
  <c r="F8" i="27"/>
  <c r="G66" i="26"/>
  <c r="C4" i="27"/>
  <c r="F4" i="27"/>
  <c r="F7" i="27"/>
  <c r="F10" i="27"/>
  <c r="F12" i="27"/>
  <c r="F13" i="27"/>
  <c r="F15" i="27"/>
  <c r="L49" i="25"/>
  <c r="G49" i="25"/>
  <c r="H49" i="25"/>
  <c r="J49" i="25"/>
  <c r="K49" i="25"/>
  <c r="F49" i="25"/>
  <c r="F42" i="26" l="1"/>
  <c r="F41" i="26"/>
  <c r="G25" i="26"/>
  <c r="G43" i="26" s="1"/>
  <c r="G99" i="26" s="1"/>
  <c r="H25" i="26"/>
  <c r="H43" i="26" s="1"/>
  <c r="I25" i="26"/>
  <c r="I43" i="26" s="1"/>
  <c r="F25" i="26"/>
  <c r="F43" i="26" s="1"/>
  <c r="G5" i="26"/>
  <c r="H5" i="26" s="1"/>
  <c r="I5" i="26" s="1"/>
  <c r="J5" i="26" s="1"/>
  <c r="G14" i="26"/>
  <c r="G35" i="26" s="1"/>
  <c r="H14" i="26"/>
  <c r="H35" i="26" s="1"/>
  <c r="H63" i="26" s="1"/>
  <c r="G98" i="26"/>
  <c r="F32" i="26"/>
  <c r="F57" i="26" s="1"/>
  <c r="F35" i="26"/>
  <c r="F63" i="26" s="1"/>
  <c r="F40" i="26"/>
  <c r="G41" i="26"/>
  <c r="H41" i="26"/>
  <c r="F44" i="26"/>
  <c r="G44" i="26"/>
  <c r="G56" i="26" s="1"/>
  <c r="L56" i="26" s="1"/>
  <c r="H44" i="26"/>
  <c r="F45" i="26"/>
  <c r="G45" i="26"/>
  <c r="H45" i="26"/>
  <c r="F46" i="26"/>
  <c r="G87" i="26" s="1"/>
  <c r="G46" i="26"/>
  <c r="H46" i="26"/>
  <c r="F47" i="26"/>
  <c r="G88" i="26" s="1"/>
  <c r="G101" i="26"/>
  <c r="G100" i="26"/>
  <c r="L69" i="26"/>
  <c r="L64" i="26"/>
  <c r="L58" i="26"/>
  <c r="L55" i="26"/>
  <c r="J47" i="26"/>
  <c r="J46" i="26"/>
  <c r="I46" i="26"/>
  <c r="J45" i="26"/>
  <c r="I45" i="26"/>
  <c r="J44" i="26"/>
  <c r="I44" i="26"/>
  <c r="J41" i="26"/>
  <c r="I41" i="26"/>
  <c r="L34" i="26"/>
  <c r="L33" i="26"/>
  <c r="J32" i="26"/>
  <c r="J57" i="26" s="1"/>
  <c r="I32" i="26"/>
  <c r="I57" i="26" s="1"/>
  <c r="L27" i="26"/>
  <c r="L26" i="26"/>
  <c r="J43" i="26"/>
  <c r="L23" i="26"/>
  <c r="L22" i="26"/>
  <c r="L21" i="26"/>
  <c r="L19" i="26"/>
  <c r="J35" i="26"/>
  <c r="J63" i="26" s="1"/>
  <c r="I14" i="26"/>
  <c r="I35" i="26" s="1"/>
  <c r="C13" i="26"/>
  <c r="C12" i="26"/>
  <c r="C11" i="26"/>
  <c r="C10" i="26"/>
  <c r="C9" i="26"/>
  <c r="C8" i="26"/>
  <c r="C7" i="26"/>
  <c r="G86" i="26" l="1"/>
  <c r="G97" i="26" s="1"/>
  <c r="G42" i="26"/>
  <c r="H48" i="26"/>
  <c r="H59" i="26" s="1"/>
  <c r="G104" i="26"/>
  <c r="H42" i="26"/>
  <c r="H67" i="26"/>
  <c r="F66" i="26"/>
  <c r="G48" i="26"/>
  <c r="F48" i="26"/>
  <c r="F59" i="26" s="1"/>
  <c r="J48" i="26"/>
  <c r="J59" i="26" s="1"/>
  <c r="F53" i="26"/>
  <c r="G84" i="26" s="1"/>
  <c r="G92" i="26"/>
  <c r="G53" i="26"/>
  <c r="G63" i="26"/>
  <c r="G95" i="26"/>
  <c r="H66" i="26"/>
  <c r="H53" i="26"/>
  <c r="L45" i="26"/>
  <c r="J66" i="26"/>
  <c r="L44" i="26"/>
  <c r="L35" i="26"/>
  <c r="C14" i="26"/>
  <c r="J42" i="26"/>
  <c r="J54" i="26" s="1"/>
  <c r="I48" i="26"/>
  <c r="I59" i="26" s="1"/>
  <c r="I66" i="26"/>
  <c r="L41" i="26"/>
  <c r="J53" i="26"/>
  <c r="J67" i="26"/>
  <c r="L46" i="26"/>
  <c r="G80" i="26"/>
  <c r="L43" i="26"/>
  <c r="I42" i="26"/>
  <c r="L47" i="26"/>
  <c r="I63" i="26"/>
  <c r="I53" i="26"/>
  <c r="I67" i="26"/>
  <c r="L24" i="26"/>
  <c r="L25" i="26"/>
  <c r="H21" i="25"/>
  <c r="G59" i="26" l="1"/>
  <c r="L59" i="26" s="1"/>
  <c r="E14" i="27"/>
  <c r="J65" i="26"/>
  <c r="F49" i="26"/>
  <c r="G40" i="26" s="1"/>
  <c r="G49" i="26" s="1"/>
  <c r="H40" i="26" s="1"/>
  <c r="H49" i="26" s="1"/>
  <c r="I40" i="26" s="1"/>
  <c r="I49" i="26" s="1"/>
  <c r="J40" i="26" s="1"/>
  <c r="J49" i="26" s="1"/>
  <c r="H32" i="26"/>
  <c r="H57" i="26" s="1"/>
  <c r="L66" i="26"/>
  <c r="G32" i="26"/>
  <c r="G57" i="26" s="1"/>
  <c r="G67" i="26"/>
  <c r="L53" i="26"/>
  <c r="L48" i="26"/>
  <c r="E32" i="26"/>
  <c r="E18" i="26"/>
  <c r="G81" i="26" s="1"/>
  <c r="L17" i="26"/>
  <c r="L42" i="26"/>
  <c r="J68" i="26"/>
  <c r="J70" i="26" s="1"/>
  <c r="L63" i="26"/>
  <c r="G87" i="25"/>
  <c r="O23" i="25"/>
  <c r="M69" i="25"/>
  <c r="M49" i="25"/>
  <c r="M48" i="25"/>
  <c r="M47" i="25"/>
  <c r="M46" i="25"/>
  <c r="M45" i="25"/>
  <c r="M43" i="25"/>
  <c r="E60" i="24"/>
  <c r="G29" i="25"/>
  <c r="G45" i="25" s="1"/>
  <c r="G99" i="25" s="1"/>
  <c r="H29" i="25"/>
  <c r="H45" i="25" s="1"/>
  <c r="I29" i="25"/>
  <c r="I45" i="25" s="1"/>
  <c r="J29" i="25"/>
  <c r="J45" i="25" s="1"/>
  <c r="K29" i="25"/>
  <c r="K45" i="25" s="1"/>
  <c r="L29" i="25"/>
  <c r="L45" i="25" s="1"/>
  <c r="F29" i="25"/>
  <c r="M18" i="25"/>
  <c r="L18" i="25"/>
  <c r="L38" i="25" s="1"/>
  <c r="C8" i="25"/>
  <c r="C9" i="25"/>
  <c r="C10" i="25"/>
  <c r="C11" i="25"/>
  <c r="C12" i="25"/>
  <c r="C13" i="25"/>
  <c r="C14" i="25"/>
  <c r="C15" i="25"/>
  <c r="C16" i="25"/>
  <c r="C17" i="25"/>
  <c r="C7" i="25"/>
  <c r="G18" i="25"/>
  <c r="G38" i="25" s="1"/>
  <c r="H18" i="25"/>
  <c r="H38" i="25" s="1"/>
  <c r="I18" i="25"/>
  <c r="I38" i="25" s="1"/>
  <c r="J18" i="25"/>
  <c r="J38" i="25" s="1"/>
  <c r="K18" i="25"/>
  <c r="K38" i="25" s="1"/>
  <c r="F38" i="25"/>
  <c r="O71" i="25"/>
  <c r="O66" i="25"/>
  <c r="G101" i="25"/>
  <c r="L48" i="25"/>
  <c r="K48" i="25"/>
  <c r="J48" i="25"/>
  <c r="I48" i="25"/>
  <c r="H48" i="25"/>
  <c r="G48" i="25"/>
  <c r="F48" i="25"/>
  <c r="F46" i="25"/>
  <c r="F42" i="25"/>
  <c r="M35" i="25"/>
  <c r="L35" i="25"/>
  <c r="L59" i="25" s="1"/>
  <c r="K35" i="25"/>
  <c r="K59" i="25" s="1"/>
  <c r="J35" i="25"/>
  <c r="J59" i="25" s="1"/>
  <c r="O26" i="25"/>
  <c r="O25" i="25"/>
  <c r="L22" i="25"/>
  <c r="L69" i="25" s="1"/>
  <c r="K22" i="25"/>
  <c r="K69" i="25" s="1"/>
  <c r="J22" i="25"/>
  <c r="J69" i="25" s="1"/>
  <c r="G5" i="25"/>
  <c r="H5" i="25" s="1"/>
  <c r="I5" i="25" s="1"/>
  <c r="J5" i="25" s="1"/>
  <c r="K5" i="25" s="1"/>
  <c r="L5" i="25" s="1"/>
  <c r="M5" i="25" s="1"/>
  <c r="E11" i="27" l="1"/>
  <c r="F11" i="27" s="1"/>
  <c r="F14" i="27"/>
  <c r="L32" i="26"/>
  <c r="F67" i="26"/>
  <c r="E57" i="26"/>
  <c r="L18" i="26"/>
  <c r="E21" i="25"/>
  <c r="G81" i="25" s="1"/>
  <c r="H35" i="25"/>
  <c r="H59" i="25" s="1"/>
  <c r="F68" i="25"/>
  <c r="G21" i="25"/>
  <c r="L50" i="25"/>
  <c r="L61" i="25" s="1"/>
  <c r="L68" i="25"/>
  <c r="H50" i="25"/>
  <c r="H61" i="25" s="1"/>
  <c r="J68" i="25"/>
  <c r="I68" i="25"/>
  <c r="M50" i="25"/>
  <c r="M68" i="25"/>
  <c r="O49" i="25"/>
  <c r="K68" i="25"/>
  <c r="H68" i="25"/>
  <c r="K50" i="25"/>
  <c r="K61" i="25" s="1"/>
  <c r="I50" i="25"/>
  <c r="I61" i="25" s="1"/>
  <c r="F35" i="25"/>
  <c r="F59" i="25" s="1"/>
  <c r="I35" i="25"/>
  <c r="I59" i="25" s="1"/>
  <c r="I22" i="25"/>
  <c r="I69" i="25" s="1"/>
  <c r="O29" i="25"/>
  <c r="C18" i="25"/>
  <c r="G50" i="25"/>
  <c r="G61" i="25" s="1"/>
  <c r="J50" i="25"/>
  <c r="J61" i="25" s="1"/>
  <c r="F65" i="25"/>
  <c r="F55" i="25"/>
  <c r="K43" i="25"/>
  <c r="J43" i="25"/>
  <c r="H43" i="25"/>
  <c r="L43" i="25"/>
  <c r="I43" i="25"/>
  <c r="I44" i="25"/>
  <c r="M44" i="25"/>
  <c r="G86" i="25"/>
  <c r="O48" i="25"/>
  <c r="G68" i="25"/>
  <c r="G100" i="25"/>
  <c r="G104" i="25" s="1"/>
  <c r="G83" i="24"/>
  <c r="AD66" i="24"/>
  <c r="AD71" i="24"/>
  <c r="AD24" i="24"/>
  <c r="AD25" i="24"/>
  <c r="AD26" i="24"/>
  <c r="AD22" i="24"/>
  <c r="AC69" i="24"/>
  <c r="G45" i="24"/>
  <c r="G104" i="24" s="1"/>
  <c r="AC65" i="24"/>
  <c r="S60" i="24"/>
  <c r="T60" i="24"/>
  <c r="U60" i="24"/>
  <c r="V60" i="24"/>
  <c r="W60" i="24"/>
  <c r="X60" i="24"/>
  <c r="Y60" i="24"/>
  <c r="Z60" i="24"/>
  <c r="AA60" i="24"/>
  <c r="AB60" i="24"/>
  <c r="AC60" i="24"/>
  <c r="S59" i="24"/>
  <c r="T59" i="24"/>
  <c r="U59" i="24"/>
  <c r="V59" i="24"/>
  <c r="W59" i="24"/>
  <c r="X59" i="24"/>
  <c r="Y59" i="24"/>
  <c r="Z59" i="24"/>
  <c r="AA59" i="24"/>
  <c r="AB59" i="24"/>
  <c r="AC59" i="24"/>
  <c r="AC57" i="24"/>
  <c r="AC55" i="24"/>
  <c r="E62" i="24"/>
  <c r="F54" i="24" s="1"/>
  <c r="E36" i="24"/>
  <c r="G49" i="24"/>
  <c r="G106" i="24" s="1"/>
  <c r="H49" i="24"/>
  <c r="I49" i="24"/>
  <c r="J49" i="24"/>
  <c r="K49" i="24"/>
  <c r="L49" i="24"/>
  <c r="M49" i="24"/>
  <c r="N49" i="24"/>
  <c r="O49" i="24"/>
  <c r="P49" i="24"/>
  <c r="Q49" i="24"/>
  <c r="R49" i="24"/>
  <c r="S49" i="24"/>
  <c r="T49" i="24"/>
  <c r="U49" i="24"/>
  <c r="V49" i="24"/>
  <c r="W49" i="24"/>
  <c r="X49" i="24"/>
  <c r="Y49" i="24"/>
  <c r="Z49" i="24"/>
  <c r="AA49" i="24"/>
  <c r="AB49" i="24"/>
  <c r="AC49" i="24"/>
  <c r="G48" i="24"/>
  <c r="G105" i="24" s="1"/>
  <c r="H48" i="24"/>
  <c r="I48" i="24"/>
  <c r="J48" i="24"/>
  <c r="K48" i="24"/>
  <c r="L48" i="24"/>
  <c r="M48" i="24"/>
  <c r="N48" i="24"/>
  <c r="O48" i="24"/>
  <c r="P48" i="24"/>
  <c r="Q48" i="24"/>
  <c r="R48" i="24"/>
  <c r="S48" i="24"/>
  <c r="T48" i="24"/>
  <c r="U48" i="24"/>
  <c r="V48" i="24"/>
  <c r="W48" i="24"/>
  <c r="X48" i="24"/>
  <c r="Y48" i="24"/>
  <c r="Z48" i="24"/>
  <c r="AA48" i="24"/>
  <c r="AB48" i="24"/>
  <c r="AC48" i="24"/>
  <c r="F49" i="24"/>
  <c r="G92" i="24" s="1"/>
  <c r="H45" i="24"/>
  <c r="I45" i="24"/>
  <c r="J45" i="24"/>
  <c r="K45" i="24"/>
  <c r="L45" i="24"/>
  <c r="M45" i="24"/>
  <c r="N45" i="24"/>
  <c r="F48" i="24"/>
  <c r="F68" i="24" s="1"/>
  <c r="F35" i="24"/>
  <c r="F59" i="24" s="1"/>
  <c r="G35" i="24"/>
  <c r="G59" i="24" s="1"/>
  <c r="H35" i="24"/>
  <c r="H59" i="24" s="1"/>
  <c r="I35" i="24"/>
  <c r="I59" i="24" s="1"/>
  <c r="J35" i="24"/>
  <c r="J59" i="24" s="1"/>
  <c r="K35" i="24"/>
  <c r="K59" i="24" s="1"/>
  <c r="L35" i="24"/>
  <c r="L59" i="24" s="1"/>
  <c r="M35" i="24"/>
  <c r="M59" i="24" s="1"/>
  <c r="N35" i="24"/>
  <c r="N59" i="24" s="1"/>
  <c r="O35" i="24"/>
  <c r="O59" i="24" s="1"/>
  <c r="P35" i="24"/>
  <c r="P59" i="24" s="1"/>
  <c r="Q35" i="24"/>
  <c r="Q59" i="24" s="1"/>
  <c r="R35" i="24"/>
  <c r="R59" i="24" s="1"/>
  <c r="E35" i="24"/>
  <c r="F42" i="24"/>
  <c r="Q18" i="24"/>
  <c r="Q19" i="24" s="1"/>
  <c r="P17" i="24"/>
  <c r="O16" i="24"/>
  <c r="N15" i="24"/>
  <c r="M14" i="24"/>
  <c r="M19" i="24" s="1"/>
  <c r="L13" i="24"/>
  <c r="L19" i="24" s="1"/>
  <c r="K12" i="24"/>
  <c r="J11" i="24"/>
  <c r="I10" i="24"/>
  <c r="I19" i="24" s="1"/>
  <c r="H9" i="24"/>
  <c r="H19" i="24" s="1"/>
  <c r="G8" i="24"/>
  <c r="G19" i="24" s="1"/>
  <c r="F7" i="24"/>
  <c r="S29" i="24"/>
  <c r="S45" i="24" s="1"/>
  <c r="T29" i="24"/>
  <c r="U29" i="24"/>
  <c r="V29" i="24"/>
  <c r="V45" i="24" s="1"/>
  <c r="W29" i="24"/>
  <c r="W45" i="24" s="1"/>
  <c r="X29" i="24"/>
  <c r="Y29" i="24"/>
  <c r="Z29" i="24"/>
  <c r="Z45" i="24" s="1"/>
  <c r="O29" i="24"/>
  <c r="O45" i="24" s="1"/>
  <c r="P29" i="24"/>
  <c r="Q29" i="24"/>
  <c r="L67" i="26" l="1"/>
  <c r="L57" i="26"/>
  <c r="O21" i="25"/>
  <c r="E22" i="25"/>
  <c r="G82" i="25" s="1"/>
  <c r="AD59" i="24"/>
  <c r="G109" i="24"/>
  <c r="V68" i="24"/>
  <c r="N68" i="24"/>
  <c r="AD48" i="24"/>
  <c r="G79" i="24"/>
  <c r="G98" i="24"/>
  <c r="Z68" i="24"/>
  <c r="R68" i="24"/>
  <c r="J68" i="24"/>
  <c r="AD49" i="24"/>
  <c r="G85" i="24"/>
  <c r="G91" i="24"/>
  <c r="G103" i="24"/>
  <c r="AD35" i="24"/>
  <c r="H22" i="25"/>
  <c r="H69" i="25" s="1"/>
  <c r="E35" i="25"/>
  <c r="G22" i="25"/>
  <c r="G91" i="25"/>
  <c r="G35" i="25"/>
  <c r="F69" i="25"/>
  <c r="K44" i="25"/>
  <c r="K67" i="25" s="1"/>
  <c r="O68" i="25"/>
  <c r="F45" i="25"/>
  <c r="F50" i="25" s="1"/>
  <c r="H46" i="25"/>
  <c r="I65" i="25"/>
  <c r="I55" i="25"/>
  <c r="J46" i="25"/>
  <c r="J47" i="25"/>
  <c r="J65" i="25"/>
  <c r="J55" i="25"/>
  <c r="H65" i="25"/>
  <c r="H55" i="25"/>
  <c r="M65" i="25"/>
  <c r="L46" i="25"/>
  <c r="L58" i="25" s="1"/>
  <c r="L47" i="25"/>
  <c r="G98" i="25"/>
  <c r="J44" i="25"/>
  <c r="G84" i="25"/>
  <c r="I67" i="25"/>
  <c r="G96" i="25"/>
  <c r="G55" i="25"/>
  <c r="G65" i="25"/>
  <c r="L65" i="25"/>
  <c r="L55" i="25"/>
  <c r="H44" i="25"/>
  <c r="H67" i="25" s="1"/>
  <c r="O38" i="25"/>
  <c r="F47" i="25"/>
  <c r="O36" i="25"/>
  <c r="M67" i="25"/>
  <c r="K65" i="25"/>
  <c r="K55" i="25"/>
  <c r="O60" i="25"/>
  <c r="L44" i="25"/>
  <c r="L67" i="25" s="1"/>
  <c r="AA68" i="24"/>
  <c r="W68" i="24"/>
  <c r="S68" i="24"/>
  <c r="O68" i="24"/>
  <c r="K68" i="24"/>
  <c r="G68" i="24"/>
  <c r="AC68" i="24"/>
  <c r="Y68" i="24"/>
  <c r="Q68" i="24"/>
  <c r="M68" i="24"/>
  <c r="I68" i="24"/>
  <c r="AB68" i="24"/>
  <c r="X68" i="24"/>
  <c r="T68" i="24"/>
  <c r="P68" i="24"/>
  <c r="L68" i="24"/>
  <c r="H68" i="24"/>
  <c r="U68" i="24"/>
  <c r="R29" i="24"/>
  <c r="R45" i="24" s="1"/>
  <c r="R50" i="24" s="1"/>
  <c r="R61" i="24" s="1"/>
  <c r="AA38" i="24"/>
  <c r="AB37" i="24"/>
  <c r="N50" i="24"/>
  <c r="N61" i="24" s="1"/>
  <c r="J50" i="24"/>
  <c r="J61" i="24" s="1"/>
  <c r="F31" i="24"/>
  <c r="F47" i="24" s="1"/>
  <c r="F56" i="24" s="1"/>
  <c r="M30" i="24"/>
  <c r="M43" i="24"/>
  <c r="I30" i="24"/>
  <c r="L44" i="24"/>
  <c r="H44" i="24"/>
  <c r="J30" i="24"/>
  <c r="L30" i="24"/>
  <c r="H30" i="24"/>
  <c r="K43" i="24"/>
  <c r="Z50" i="24"/>
  <c r="Z61" i="24" s="1"/>
  <c r="V50" i="24"/>
  <c r="V61" i="24" s="1"/>
  <c r="M44" i="24"/>
  <c r="E39" i="24"/>
  <c r="F34" i="24" s="1"/>
  <c r="I44" i="24"/>
  <c r="N43" i="24"/>
  <c r="M50" i="24"/>
  <c r="M61" i="24" s="1"/>
  <c r="AB38" i="24"/>
  <c r="F45" i="24"/>
  <c r="F50" i="24" s="1"/>
  <c r="K44" i="24"/>
  <c r="J43" i="24"/>
  <c r="I50" i="24"/>
  <c r="I61" i="24" s="1"/>
  <c r="T43" i="24"/>
  <c r="O50" i="24"/>
  <c r="O61" i="24" s="1"/>
  <c r="Z38" i="24"/>
  <c r="Q45" i="24"/>
  <c r="Q50" i="24" s="1"/>
  <c r="Q61" i="24" s="1"/>
  <c r="K50" i="24"/>
  <c r="K61" i="24" s="1"/>
  <c r="G61" i="24"/>
  <c r="X43" i="24"/>
  <c r="I43" i="24"/>
  <c r="P19" i="24"/>
  <c r="AA37" i="24" s="1"/>
  <c r="P45" i="24"/>
  <c r="P50" i="24" s="1"/>
  <c r="P61" i="24" s="1"/>
  <c r="V30" i="24"/>
  <c r="J19" i="24"/>
  <c r="T38" i="24"/>
  <c r="R38" i="24"/>
  <c r="U38" i="24"/>
  <c r="Y30" i="24"/>
  <c r="Y43" i="24"/>
  <c r="U30" i="24"/>
  <c r="U43" i="24"/>
  <c r="V38" i="24"/>
  <c r="Y45" i="24"/>
  <c r="Y50" i="24" s="1"/>
  <c r="Y61" i="24" s="1"/>
  <c r="W50" i="24"/>
  <c r="W61" i="24" s="1"/>
  <c r="S50" i="24"/>
  <c r="S61" i="24" s="1"/>
  <c r="S38" i="24"/>
  <c r="W38" i="24"/>
  <c r="U45" i="24"/>
  <c r="U50" i="24" s="1"/>
  <c r="U61" i="24" s="1"/>
  <c r="L50" i="24"/>
  <c r="L61" i="24" s="1"/>
  <c r="H50" i="24"/>
  <c r="H61" i="24" s="1"/>
  <c r="F38" i="24"/>
  <c r="F19" i="24"/>
  <c r="H38" i="24"/>
  <c r="L38" i="24"/>
  <c r="P38" i="24"/>
  <c r="Q38" i="24"/>
  <c r="J38" i="24"/>
  <c r="N38" i="24"/>
  <c r="G38" i="24"/>
  <c r="G101" i="24" s="1"/>
  <c r="O38" i="24"/>
  <c r="I38" i="24"/>
  <c r="M38" i="24"/>
  <c r="K38" i="24"/>
  <c r="N19" i="24"/>
  <c r="X38" i="24"/>
  <c r="Y38" i="24"/>
  <c r="G43" i="24"/>
  <c r="T45" i="24"/>
  <c r="T50" i="24" s="1"/>
  <c r="T61" i="24" s="1"/>
  <c r="L43" i="24"/>
  <c r="H43" i="24"/>
  <c r="O19" i="24"/>
  <c r="K19" i="24"/>
  <c r="X45" i="24"/>
  <c r="X50" i="24" s="1"/>
  <c r="X61" i="24" s="1"/>
  <c r="F43" i="24"/>
  <c r="AB29" i="24"/>
  <c r="AA29" i="24"/>
  <c r="F23" i="24"/>
  <c r="G23" i="24"/>
  <c r="H23" i="24"/>
  <c r="I23" i="24"/>
  <c r="I36" i="24" s="1"/>
  <c r="I60" i="24" s="1"/>
  <c r="J23" i="24"/>
  <c r="J36" i="24" s="1"/>
  <c r="J60" i="24" s="1"/>
  <c r="K23" i="24"/>
  <c r="K36" i="24" s="1"/>
  <c r="K60" i="24" s="1"/>
  <c r="L23" i="24"/>
  <c r="L36" i="24" s="1"/>
  <c r="L60" i="24" s="1"/>
  <c r="M23" i="24"/>
  <c r="M36" i="24" s="1"/>
  <c r="M60" i="24" s="1"/>
  <c r="N23" i="24"/>
  <c r="N36" i="24" s="1"/>
  <c r="N60" i="24" s="1"/>
  <c r="O23" i="24"/>
  <c r="O36" i="24" s="1"/>
  <c r="O60" i="24" s="1"/>
  <c r="P23" i="24"/>
  <c r="P36" i="24" s="1"/>
  <c r="P60" i="24" s="1"/>
  <c r="Q23" i="24"/>
  <c r="Q36" i="24" s="1"/>
  <c r="Q60" i="24" s="1"/>
  <c r="R23" i="24"/>
  <c r="R36" i="24" s="1"/>
  <c r="R60" i="24" s="1"/>
  <c r="G5" i="24"/>
  <c r="H5" i="24" s="1"/>
  <c r="I5" i="24" s="1"/>
  <c r="J5" i="24" s="1"/>
  <c r="K5" i="24" s="1"/>
  <c r="L5" i="24" s="1"/>
  <c r="M5" i="24" s="1"/>
  <c r="N5" i="24" s="1"/>
  <c r="O5" i="24" s="1"/>
  <c r="P5" i="24" s="1"/>
  <c r="Q5" i="24" s="1"/>
  <c r="R5" i="24" s="1"/>
  <c r="S5" i="24" s="1"/>
  <c r="T5" i="24" s="1"/>
  <c r="U5" i="24" s="1"/>
  <c r="V5" i="24" s="1"/>
  <c r="W5" i="24" s="1"/>
  <c r="X5" i="24" s="1"/>
  <c r="Y5" i="24" s="1"/>
  <c r="Z5" i="24" s="1"/>
  <c r="AA5" i="24" s="1"/>
  <c r="AB5" i="24" s="1"/>
  <c r="AC5" i="24" s="1"/>
  <c r="F36" i="24" l="1"/>
  <c r="AD23" i="24"/>
  <c r="H67" i="24"/>
  <c r="H36" i="24"/>
  <c r="H60" i="24" s="1"/>
  <c r="G36" i="24"/>
  <c r="G30" i="24"/>
  <c r="F65" i="24"/>
  <c r="AD38" i="24"/>
  <c r="F61" i="24"/>
  <c r="AD68" i="24"/>
  <c r="G69" i="25"/>
  <c r="G95" i="25"/>
  <c r="E59" i="25"/>
  <c r="E62" i="25" s="1"/>
  <c r="F54" i="25" s="1"/>
  <c r="E39" i="25"/>
  <c r="F34" i="25" s="1"/>
  <c r="F39" i="25" s="1"/>
  <c r="G34" i="25" s="1"/>
  <c r="G39" i="25" s="1"/>
  <c r="H34" i="25" s="1"/>
  <c r="H39" i="25" s="1"/>
  <c r="I34" i="25" s="1"/>
  <c r="I39" i="25" s="1"/>
  <c r="J34" i="25" s="1"/>
  <c r="O22" i="25"/>
  <c r="F61" i="25"/>
  <c r="O61" i="25" s="1"/>
  <c r="O35" i="25"/>
  <c r="G94" i="25"/>
  <c r="G59" i="25"/>
  <c r="L56" i="25"/>
  <c r="O50" i="25"/>
  <c r="H47" i="25"/>
  <c r="H56" i="25" s="1"/>
  <c r="O45" i="25"/>
  <c r="F43" i="25"/>
  <c r="G43" i="25"/>
  <c r="H70" i="25"/>
  <c r="H72" i="25" s="1"/>
  <c r="L70" i="25"/>
  <c r="L72" i="25" s="1"/>
  <c r="M56" i="25"/>
  <c r="K70" i="25"/>
  <c r="K72" i="25" s="1"/>
  <c r="J56" i="25"/>
  <c r="J67" i="25"/>
  <c r="E6" i="27" s="1"/>
  <c r="I70" i="25"/>
  <c r="I72" i="25" s="1"/>
  <c r="M70" i="25"/>
  <c r="M72" i="25" s="1"/>
  <c r="O55" i="25"/>
  <c r="O27" i="25"/>
  <c r="K47" i="25"/>
  <c r="K56" i="25" s="1"/>
  <c r="K46" i="25"/>
  <c r="K58" i="25" s="1"/>
  <c r="O37" i="25"/>
  <c r="I46" i="25"/>
  <c r="O65" i="25"/>
  <c r="L67" i="24"/>
  <c r="I67" i="24"/>
  <c r="V43" i="24"/>
  <c r="Z37" i="24"/>
  <c r="Z57" i="24" s="1"/>
  <c r="S43" i="24"/>
  <c r="AA55" i="24"/>
  <c r="AA65" i="24"/>
  <c r="K55" i="24"/>
  <c r="K65" i="24"/>
  <c r="R55" i="24"/>
  <c r="R65" i="24"/>
  <c r="Y55" i="24"/>
  <c r="Y65" i="24"/>
  <c r="M55" i="24"/>
  <c r="M65" i="24"/>
  <c r="N55" i="24"/>
  <c r="N65" i="24"/>
  <c r="L55" i="24"/>
  <c r="L65" i="24"/>
  <c r="W55" i="24"/>
  <c r="W65" i="24"/>
  <c r="T55" i="24"/>
  <c r="T65" i="24"/>
  <c r="K67" i="24"/>
  <c r="M67" i="24"/>
  <c r="G55" i="24"/>
  <c r="G65" i="24"/>
  <c r="X55" i="24"/>
  <c r="X65" i="24"/>
  <c r="I55" i="24"/>
  <c r="I65" i="24"/>
  <c r="J55" i="24"/>
  <c r="J65" i="24"/>
  <c r="H55" i="24"/>
  <c r="H65" i="24"/>
  <c r="S55" i="24"/>
  <c r="S65" i="24"/>
  <c r="V55" i="24"/>
  <c r="V65" i="24"/>
  <c r="Z55" i="24"/>
  <c r="Z65" i="24"/>
  <c r="AB57" i="24"/>
  <c r="AB69" i="24"/>
  <c r="P55" i="24"/>
  <c r="P65" i="24"/>
  <c r="O55" i="24"/>
  <c r="O65" i="24"/>
  <c r="Q55" i="24"/>
  <c r="Q65" i="24"/>
  <c r="U55" i="24"/>
  <c r="U65" i="24"/>
  <c r="AA57" i="24"/>
  <c r="AA69" i="24"/>
  <c r="AB55" i="24"/>
  <c r="AB65" i="24"/>
  <c r="J31" i="24"/>
  <c r="N30" i="24"/>
  <c r="I31" i="24"/>
  <c r="Y31" i="24"/>
  <c r="H31" i="24"/>
  <c r="U31" i="24"/>
  <c r="V31" i="24"/>
  <c r="L31" i="24"/>
  <c r="M31" i="24"/>
  <c r="O44" i="24"/>
  <c r="W30" i="24"/>
  <c r="K30" i="24"/>
  <c r="X44" i="24"/>
  <c r="X67" i="24" s="1"/>
  <c r="W43" i="24"/>
  <c r="T30" i="24"/>
  <c r="Z44" i="24"/>
  <c r="O30" i="24"/>
  <c r="Z30" i="24"/>
  <c r="W37" i="24"/>
  <c r="Z43" i="24"/>
  <c r="X37" i="24"/>
  <c r="Y37" i="24"/>
  <c r="K37" i="24"/>
  <c r="O37" i="24"/>
  <c r="F37" i="24"/>
  <c r="G37" i="24"/>
  <c r="G100" i="24" s="1"/>
  <c r="H37" i="24"/>
  <c r="L37" i="24"/>
  <c r="P37" i="24"/>
  <c r="N37" i="24"/>
  <c r="I37" i="24"/>
  <c r="M37" i="24"/>
  <c r="Q37" i="24"/>
  <c r="J37" i="24"/>
  <c r="U37" i="24"/>
  <c r="T37" i="24"/>
  <c r="R37" i="24"/>
  <c r="V37" i="24"/>
  <c r="P43" i="24"/>
  <c r="F55" i="24"/>
  <c r="O43" i="24"/>
  <c r="S37" i="24"/>
  <c r="U44" i="24"/>
  <c r="U67" i="24" s="1"/>
  <c r="J44" i="24"/>
  <c r="Y44" i="24"/>
  <c r="AA45" i="24"/>
  <c r="AA50" i="24" s="1"/>
  <c r="AA61" i="24" s="1"/>
  <c r="AB45" i="24"/>
  <c r="AB50" i="24" s="1"/>
  <c r="AB61" i="24" s="1"/>
  <c r="N44" i="24"/>
  <c r="N67" i="24" s="1"/>
  <c r="V44" i="24"/>
  <c r="F44" i="24"/>
  <c r="G44" i="24"/>
  <c r="G67" i="24" s="1"/>
  <c r="Q30" i="24"/>
  <c r="Q43" i="24"/>
  <c r="E5" i="27" l="1"/>
  <c r="F6" i="27"/>
  <c r="J39" i="25"/>
  <c r="K34" i="25" s="1"/>
  <c r="K39" i="25" s="1"/>
  <c r="L34" i="25" s="1"/>
  <c r="L39" i="25" s="1"/>
  <c r="M34" i="25" s="1"/>
  <c r="M39" i="25" s="1"/>
  <c r="G31" i="24"/>
  <c r="Z67" i="24"/>
  <c r="F60" i="24"/>
  <c r="AD36" i="24"/>
  <c r="G88" i="24"/>
  <c r="AD55" i="24"/>
  <c r="F69" i="24"/>
  <c r="AD37" i="24"/>
  <c r="AD65" i="24"/>
  <c r="G60" i="24"/>
  <c r="G99" i="24"/>
  <c r="G90" i="24"/>
  <c r="G95" i="24" s="1"/>
  <c r="AD27" i="24"/>
  <c r="G89" i="24"/>
  <c r="G102" i="24" s="1"/>
  <c r="O59" i="25"/>
  <c r="J70" i="25"/>
  <c r="J72" i="25" s="1"/>
  <c r="G47" i="25"/>
  <c r="G46" i="25"/>
  <c r="F44" i="25"/>
  <c r="F51" i="25" s="1"/>
  <c r="G42" i="25" s="1"/>
  <c r="G44" i="25"/>
  <c r="G67" i="25" s="1"/>
  <c r="G70" i="25" s="1"/>
  <c r="G72" i="25" s="1"/>
  <c r="O43" i="25"/>
  <c r="O57" i="25"/>
  <c r="O28" i="25"/>
  <c r="I47" i="25"/>
  <c r="O69" i="25"/>
  <c r="O30" i="25"/>
  <c r="Z69" i="24"/>
  <c r="R43" i="24"/>
  <c r="F51" i="24"/>
  <c r="G42" i="24" s="1"/>
  <c r="G51" i="24" s="1"/>
  <c r="O67" i="24"/>
  <c r="S44" i="24"/>
  <c r="S67" i="24" s="1"/>
  <c r="F67" i="24"/>
  <c r="I57" i="24"/>
  <c r="I69" i="24"/>
  <c r="I70" i="24" s="1"/>
  <c r="I72" i="24" s="1"/>
  <c r="H57" i="24"/>
  <c r="H69" i="24"/>
  <c r="H70" i="24" s="1"/>
  <c r="H72" i="24" s="1"/>
  <c r="W57" i="24"/>
  <c r="W69" i="24"/>
  <c r="J57" i="24"/>
  <c r="J69" i="24"/>
  <c r="N57" i="24"/>
  <c r="N69" i="24"/>
  <c r="N70" i="24" s="1"/>
  <c r="N72" i="24" s="1"/>
  <c r="Y57" i="24"/>
  <c r="Y69" i="24"/>
  <c r="S57" i="24"/>
  <c r="S69" i="24"/>
  <c r="R57" i="24"/>
  <c r="R69" i="24"/>
  <c r="Q57" i="24"/>
  <c r="Q69" i="24"/>
  <c r="P57" i="24"/>
  <c r="P69" i="24"/>
  <c r="X57" i="24"/>
  <c r="X69" i="24"/>
  <c r="X70" i="24" s="1"/>
  <c r="X72" i="24" s="1"/>
  <c r="F39" i="24"/>
  <c r="G34" i="24" s="1"/>
  <c r="G39" i="24" s="1"/>
  <c r="H34" i="24" s="1"/>
  <c r="H39" i="24" s="1"/>
  <c r="I34" i="24" s="1"/>
  <c r="I39" i="24" s="1"/>
  <c r="J34" i="24" s="1"/>
  <c r="J39" i="24" s="1"/>
  <c r="K34" i="24" s="1"/>
  <c r="K39" i="24" s="1"/>
  <c r="L34" i="24" s="1"/>
  <c r="L39" i="24" s="1"/>
  <c r="M34" i="24" s="1"/>
  <c r="M39" i="24" s="1"/>
  <c r="N34" i="24" s="1"/>
  <c r="N39" i="24" s="1"/>
  <c r="O34" i="24" s="1"/>
  <c r="O39" i="24" s="1"/>
  <c r="P34" i="24" s="1"/>
  <c r="P39" i="24" s="1"/>
  <c r="Q34" i="24" s="1"/>
  <c r="Q39" i="24" s="1"/>
  <c r="R34" i="24" s="1"/>
  <c r="R39" i="24" s="1"/>
  <c r="S34" i="24" s="1"/>
  <c r="S39" i="24" s="1"/>
  <c r="T34" i="24" s="1"/>
  <c r="T39" i="24" s="1"/>
  <c r="U34" i="24" s="1"/>
  <c r="U39" i="24" s="1"/>
  <c r="V34" i="24" s="1"/>
  <c r="V39" i="24" s="1"/>
  <c r="W34" i="24" s="1"/>
  <c r="W39" i="24" s="1"/>
  <c r="X34" i="24" s="1"/>
  <c r="X39" i="24" s="1"/>
  <c r="Y34" i="24" s="1"/>
  <c r="Y39" i="24" s="1"/>
  <c r="Z34" i="24" s="1"/>
  <c r="Z39" i="24" s="1"/>
  <c r="AA34" i="24" s="1"/>
  <c r="AA39" i="24" s="1"/>
  <c r="AB34" i="24" s="1"/>
  <c r="AB39" i="24" s="1"/>
  <c r="Y67" i="24"/>
  <c r="U57" i="24"/>
  <c r="U69" i="24"/>
  <c r="U70" i="24" s="1"/>
  <c r="U72" i="24" s="1"/>
  <c r="K57" i="24"/>
  <c r="K69" i="24"/>
  <c r="K70" i="24" s="1"/>
  <c r="K72" i="24" s="1"/>
  <c r="V57" i="24"/>
  <c r="V69" i="24"/>
  <c r="G57" i="24"/>
  <c r="G69" i="24"/>
  <c r="G70" i="24" s="1"/>
  <c r="G72" i="24" s="1"/>
  <c r="V67" i="24"/>
  <c r="T57" i="24"/>
  <c r="T69" i="24"/>
  <c r="M57" i="24"/>
  <c r="M69" i="24"/>
  <c r="M70" i="24" s="1"/>
  <c r="M72" i="24" s="1"/>
  <c r="L57" i="24"/>
  <c r="L69" i="24"/>
  <c r="L70" i="24" s="1"/>
  <c r="L72" i="24" s="1"/>
  <c r="O57" i="24"/>
  <c r="O69" i="24"/>
  <c r="J67" i="24"/>
  <c r="Z31" i="24"/>
  <c r="T31" i="24"/>
  <c r="K31" i="24"/>
  <c r="N31" i="24"/>
  <c r="Q31" i="24"/>
  <c r="O31" i="24"/>
  <c r="W44" i="24"/>
  <c r="W67" i="24" s="1"/>
  <c r="W31" i="24"/>
  <c r="AA30" i="24"/>
  <c r="P30" i="24"/>
  <c r="X30" i="24"/>
  <c r="R30" i="24"/>
  <c r="T44" i="24"/>
  <c r="F57" i="24"/>
  <c r="AB30" i="24"/>
  <c r="AB43" i="24"/>
  <c r="AA43" i="24"/>
  <c r="Q44" i="24"/>
  <c r="P44" i="24"/>
  <c r="P67" i="24" s="1"/>
  <c r="AC44" i="24"/>
  <c r="AC43" i="24"/>
  <c r="Z70" i="24" l="1"/>
  <c r="Z72" i="24" s="1"/>
  <c r="AD57" i="24"/>
  <c r="G87" i="24"/>
  <c r="G86" i="24"/>
  <c r="AD60" i="24"/>
  <c r="S30" i="24"/>
  <c r="R44" i="24"/>
  <c r="R67" i="24" s="1"/>
  <c r="R70" i="24" s="1"/>
  <c r="R72" i="24" s="1"/>
  <c r="AD28" i="24"/>
  <c r="AD69" i="24"/>
  <c r="F70" i="24"/>
  <c r="F72" i="24" s="1"/>
  <c r="AD43" i="24"/>
  <c r="F56" i="25"/>
  <c r="F62" i="25" s="1"/>
  <c r="G54" i="25" s="1"/>
  <c r="F67" i="25"/>
  <c r="F70" i="25" s="1"/>
  <c r="F72" i="25" s="1"/>
  <c r="O72" i="25" s="1"/>
  <c r="G85" i="25"/>
  <c r="G97" i="25" s="1"/>
  <c r="G51" i="25"/>
  <c r="H42" i="25" s="1"/>
  <c r="H51" i="25" s="1"/>
  <c r="I42" i="25" s="1"/>
  <c r="I51" i="25" s="1"/>
  <c r="J42" i="25" s="1"/>
  <c r="G56" i="25"/>
  <c r="I56" i="25"/>
  <c r="O44" i="25"/>
  <c r="O58" i="25"/>
  <c r="O46" i="25"/>
  <c r="W70" i="24"/>
  <c r="W72" i="24" s="1"/>
  <c r="P70" i="24"/>
  <c r="P72" i="24" s="1"/>
  <c r="S70" i="24"/>
  <c r="S72" i="24" s="1"/>
  <c r="J70" i="24"/>
  <c r="J72" i="24" s="1"/>
  <c r="V70" i="24"/>
  <c r="V72" i="24" s="1"/>
  <c r="O70" i="24"/>
  <c r="O72" i="24" s="1"/>
  <c r="Y70" i="24"/>
  <c r="Y72" i="24" s="1"/>
  <c r="F62" i="24"/>
  <c r="Q67" i="24"/>
  <c r="Q70" i="24" s="1"/>
  <c r="Q72" i="24" s="1"/>
  <c r="T67" i="24"/>
  <c r="T70" i="24" s="1"/>
  <c r="T72" i="24" s="1"/>
  <c r="H42" i="24"/>
  <c r="H51" i="24" s="1"/>
  <c r="I42" i="24" s="1"/>
  <c r="R31" i="24"/>
  <c r="R47" i="24" s="1"/>
  <c r="R56" i="24" s="1"/>
  <c r="R58" i="24"/>
  <c r="AD58" i="24" s="1"/>
  <c r="P31" i="24"/>
  <c r="AB31" i="24"/>
  <c r="AA31" i="24"/>
  <c r="X31" i="24"/>
  <c r="AC30" i="24"/>
  <c r="AC29" i="24"/>
  <c r="AD29" i="24" s="1"/>
  <c r="AB44" i="24"/>
  <c r="AA44" i="24"/>
  <c r="AA67" i="24" s="1"/>
  <c r="AA70" i="24" s="1"/>
  <c r="AA72" i="24" s="1"/>
  <c r="J51" i="25" l="1"/>
  <c r="K42" i="25" s="1"/>
  <c r="K51" i="25" s="1"/>
  <c r="L42" i="25" s="1"/>
  <c r="L51" i="25" s="1"/>
  <c r="M42" i="25" s="1"/>
  <c r="M51" i="25" s="1"/>
  <c r="E3" i="27"/>
  <c r="E16" i="27" s="1"/>
  <c r="AD44" i="24"/>
  <c r="AD30" i="24"/>
  <c r="AD46" i="24"/>
  <c r="S31" i="24"/>
  <c r="O67" i="25"/>
  <c r="G62" i="25"/>
  <c r="H54" i="25" s="1"/>
  <c r="H62" i="25" s="1"/>
  <c r="O70" i="25"/>
  <c r="O31" i="25"/>
  <c r="G54" i="24"/>
  <c r="G62" i="24" s="1"/>
  <c r="AB67" i="24"/>
  <c r="AB70" i="24" s="1"/>
  <c r="AB72" i="24" s="1"/>
  <c r="I51" i="24"/>
  <c r="J42" i="24" s="1"/>
  <c r="AC45" i="24"/>
  <c r="AD45" i="24" s="1"/>
  <c r="AC31" i="24"/>
  <c r="AD56" i="24" l="1"/>
  <c r="AD47" i="24"/>
  <c r="AD67" i="24"/>
  <c r="AD31" i="24"/>
  <c r="I54" i="25"/>
  <c r="I62" i="25" s="1"/>
  <c r="O56" i="25"/>
  <c r="O47" i="25"/>
  <c r="H54" i="24"/>
  <c r="H62" i="24" s="1"/>
  <c r="AC50" i="24"/>
  <c r="AC67" i="24"/>
  <c r="AC70" i="24" s="1"/>
  <c r="J51" i="24"/>
  <c r="K42" i="24" s="1"/>
  <c r="J54" i="25" l="1"/>
  <c r="J62" i="25" s="1"/>
  <c r="AC72" i="24"/>
  <c r="AD70" i="24"/>
  <c r="AC61" i="24"/>
  <c r="AD61" i="24" s="1"/>
  <c r="AD50" i="24"/>
  <c r="I54" i="24"/>
  <c r="I62" i="24" s="1"/>
  <c r="K51" i="24"/>
  <c r="L42" i="24" s="1"/>
  <c r="K54" i="25" l="1"/>
  <c r="K62" i="25" s="1"/>
  <c r="AD72" i="24"/>
  <c r="J54" i="24"/>
  <c r="J62" i="24" s="1"/>
  <c r="L51" i="24"/>
  <c r="M42" i="24" s="1"/>
  <c r="L54" i="25" l="1"/>
  <c r="L62" i="25" s="1"/>
  <c r="K54" i="24"/>
  <c r="K62" i="24" s="1"/>
  <c r="M51" i="24"/>
  <c r="N42" i="24" s="1"/>
  <c r="M54" i="25" l="1"/>
  <c r="L54" i="24"/>
  <c r="L62" i="24" s="1"/>
  <c r="N51" i="24"/>
  <c r="O42" i="24" s="1"/>
  <c r="N54" i="25" l="1"/>
  <c r="M54" i="24"/>
  <c r="M62" i="24" s="1"/>
  <c r="O51" i="24"/>
  <c r="P42" i="24" s="1"/>
  <c r="P51" i="24" s="1"/>
  <c r="Q42" i="24" s="1"/>
  <c r="N54" i="24" l="1"/>
  <c r="N62" i="24" s="1"/>
  <c r="Q51" i="24"/>
  <c r="R42" i="24" s="1"/>
  <c r="O54" i="24" l="1"/>
  <c r="O62" i="24" s="1"/>
  <c r="R51" i="24"/>
  <c r="S42" i="24" s="1"/>
  <c r="P54" i="24" l="1"/>
  <c r="P62" i="24" s="1"/>
  <c r="S51" i="24"/>
  <c r="T42" i="24" s="1"/>
  <c r="Q54" i="24" l="1"/>
  <c r="Q62" i="24" s="1"/>
  <c r="T51" i="24"/>
  <c r="U42" i="24" s="1"/>
  <c r="R54" i="24" l="1"/>
  <c r="R62" i="24" s="1"/>
  <c r="U51" i="24"/>
  <c r="V42" i="24" s="1"/>
  <c r="S54" i="24" l="1"/>
  <c r="S62" i="24" s="1"/>
  <c r="V51" i="24"/>
  <c r="W42" i="24" s="1"/>
  <c r="T54" i="24" l="1"/>
  <c r="T62" i="24" s="1"/>
  <c r="W51" i="24"/>
  <c r="X42" i="24" s="1"/>
  <c r="U54" i="24" l="1"/>
  <c r="U62" i="24" s="1"/>
  <c r="X51" i="24"/>
  <c r="Y42" i="24" s="1"/>
  <c r="V54" i="24" l="1"/>
  <c r="V62" i="24" s="1"/>
  <c r="Y51" i="24"/>
  <c r="Z42" i="24" s="1"/>
  <c r="W54" i="24" l="1"/>
  <c r="W62" i="24" s="1"/>
  <c r="Z51" i="24"/>
  <c r="AA42" i="24" s="1"/>
  <c r="X54" i="24" l="1"/>
  <c r="X62" i="24" s="1"/>
  <c r="AA51" i="24"/>
  <c r="AB42" i="24" s="1"/>
  <c r="AB51" i="24" s="1"/>
  <c r="AC42" i="24" s="1"/>
  <c r="AC51" i="24" s="1"/>
  <c r="Y54" i="24" l="1"/>
  <c r="Y62" i="24" s="1"/>
  <c r="Z54" i="24" l="1"/>
  <c r="Z62" i="24" s="1"/>
  <c r="AA54" i="24" l="1"/>
  <c r="AA62" i="24" s="1"/>
  <c r="AB54" i="24" l="1"/>
  <c r="AB62" i="24" s="1"/>
  <c r="AC54" i="24" l="1"/>
  <c r="AC62" i="24" l="1"/>
  <c r="I28" i="26" l="1"/>
  <c r="I36" i="26" s="1"/>
  <c r="G96" i="26"/>
  <c r="H28" i="26"/>
  <c r="H36" i="26" s="1"/>
  <c r="F28" i="26"/>
  <c r="E36" i="26" s="1"/>
  <c r="I54" i="26" l="1"/>
  <c r="I65" i="26"/>
  <c r="I68" i="26" s="1"/>
  <c r="I70" i="26" s="1"/>
  <c r="G82" i="26"/>
  <c r="E37" i="26"/>
  <c r="F31" i="26" s="1"/>
  <c r="E54" i="26"/>
  <c r="E60" i="26" s="1"/>
  <c r="F52" i="26" s="1"/>
  <c r="H65" i="26"/>
  <c r="H68" i="26" s="1"/>
  <c r="H70" i="26" s="1"/>
  <c r="H54" i="26"/>
  <c r="G36" i="26"/>
  <c r="G85" i="26"/>
  <c r="F36" i="26"/>
  <c r="F54" i="26" s="1"/>
  <c r="F65" i="26" l="1"/>
  <c r="D3" i="27"/>
  <c r="D16" i="27" s="1"/>
  <c r="G65" i="26"/>
  <c r="G68" i="26" s="1"/>
  <c r="G70" i="26" s="1"/>
  <c r="G54" i="26"/>
  <c r="D9" i="27"/>
  <c r="L36" i="26"/>
  <c r="F60" i="26"/>
  <c r="G52" i="26" s="1"/>
  <c r="G60" i="26" s="1"/>
  <c r="H52" i="26" s="1"/>
  <c r="H60" i="26" s="1"/>
  <c r="I52" i="26" s="1"/>
  <c r="I60" i="26" s="1"/>
  <c r="J52" i="26" s="1"/>
  <c r="J60" i="26" s="1"/>
  <c r="L54" i="26"/>
  <c r="F37" i="26"/>
  <c r="G31" i="26" s="1"/>
  <c r="G37" i="26" l="1"/>
  <c r="H31" i="26" s="1"/>
  <c r="H37" i="26" s="1"/>
  <c r="I31" i="26" s="1"/>
  <c r="I37" i="26" s="1"/>
  <c r="J31" i="26" s="1"/>
  <c r="J37" i="26" s="1"/>
  <c r="C3" i="27"/>
  <c r="F9" i="27"/>
  <c r="D5" i="27"/>
  <c r="F5" i="27" s="1"/>
  <c r="L65" i="26"/>
  <c r="F68" i="26"/>
  <c r="L68" i="26" l="1"/>
  <c r="F70" i="26"/>
  <c r="L70" i="26" s="1"/>
  <c r="C16" i="27"/>
  <c r="F16" i="27" s="1"/>
  <c r="F3" i="27"/>
</calcChain>
</file>

<file path=xl/comments1.xml><?xml version="1.0" encoding="utf-8"?>
<comments xmlns="http://schemas.openxmlformats.org/spreadsheetml/2006/main">
  <authors>
    <author>Сіухіна Катерина Миколаївна</author>
  </authors>
  <commentList>
    <comment ref="F7" authorId="0" shapeId="0">
      <text>
        <r>
          <rPr>
            <b/>
            <sz val="9"/>
            <color indexed="81"/>
            <rFont val="Tahoma"/>
            <family val="2"/>
            <charset val="204"/>
          </rPr>
          <t>Період покриття усіх контрактів починається з 1-го числа відповідного місяця і становить 1 рік</t>
        </r>
      </text>
    </comment>
    <comment ref="Q22" authorId="0" shapeId="0">
      <text>
        <r>
          <rPr>
            <sz val="9"/>
            <color indexed="81"/>
            <rFont val="Tahoma"/>
            <charset val="1"/>
          </rPr>
          <t xml:space="preserve">Останній місяць, коли можна додавати нові контракти до когорти
</t>
        </r>
      </text>
    </comment>
    <comment ref="R22" authorId="0" shapeId="0">
      <text>
        <r>
          <rPr>
            <sz val="9"/>
            <color indexed="81"/>
            <rFont val="Tahoma"/>
            <family val="2"/>
            <charset val="204"/>
          </rPr>
          <t>Премії по вже діючим договорам, які сплачені із урахуванням відстрочки</t>
        </r>
      </text>
    </comment>
    <comment ref="G30" authorId="0" shapeId="0">
      <text>
        <r>
          <rPr>
            <b/>
            <sz val="9"/>
            <color indexed="81"/>
            <rFont val="Tahoma"/>
            <charset val="1"/>
          </rPr>
          <t>Вимоги за подіями, що відбулися у попередньому місяці підписані у звітному періоді</t>
        </r>
        <r>
          <rPr>
            <sz val="9"/>
            <color indexed="81"/>
            <rFont val="Tahoma"/>
            <charset val="1"/>
          </rPr>
          <t xml:space="preserve">
</t>
        </r>
      </text>
    </comment>
    <comment ref="F54" authorId="0" shapeId="0">
      <text>
        <r>
          <rPr>
            <sz val="9"/>
            <color indexed="81"/>
            <rFont val="Tahoma"/>
            <charset val="1"/>
          </rPr>
          <t>залишок після первісного визнання</t>
        </r>
      </text>
    </comment>
  </commentList>
</comments>
</file>

<file path=xl/comments2.xml><?xml version="1.0" encoding="utf-8"?>
<comments xmlns="http://schemas.openxmlformats.org/spreadsheetml/2006/main">
  <authors>
    <author>Сіухіна Катерина Миколаївна</author>
  </authors>
  <commentList>
    <comment ref="F7" authorId="0" shapeId="0">
      <text>
        <r>
          <rPr>
            <sz val="9"/>
            <color indexed="81"/>
            <rFont val="Tahoma"/>
            <family val="2"/>
            <charset val="204"/>
          </rPr>
          <t xml:space="preserve">Зеленим кольором виділені періоди покриття; 
Кремовим кольором - період, коли здійснювалося врегулювання за випадками, що відбулися
</t>
        </r>
      </text>
    </comment>
    <comment ref="H11" authorId="0" shapeId="0">
      <text>
        <r>
          <rPr>
            <sz val="9"/>
            <color indexed="81"/>
            <rFont val="Tahoma"/>
            <family val="2"/>
            <charset val="204"/>
          </rPr>
          <t xml:space="preserve">жирним виділені періоди, коли відбулись страхові події
</t>
        </r>
      </text>
    </comment>
    <comment ref="H27" authorId="0" shapeId="0">
      <text>
        <r>
          <rPr>
            <sz val="9"/>
            <color indexed="81"/>
            <rFont val="Tahoma"/>
            <family val="2"/>
            <charset val="204"/>
          </rPr>
          <t xml:space="preserve">повідомлення, що відбулася страхова подія, надійшло у 3-му кв. 2023
</t>
        </r>
      </text>
    </comment>
    <comment ref="F34" authorId="0" shapeId="0">
      <text>
        <r>
          <rPr>
            <sz val="9"/>
            <color indexed="81"/>
            <rFont val="Tahoma"/>
            <charset val="1"/>
          </rPr>
          <t xml:space="preserve">залишок після первісного визнання
</t>
        </r>
      </text>
    </comment>
    <comment ref="K58" authorId="0" shapeId="0">
      <text>
        <r>
          <rPr>
            <sz val="8"/>
            <color indexed="81"/>
            <rFont val="Tahoma"/>
            <family val="2"/>
            <charset val="204"/>
          </rPr>
          <t>Для спрощення тут не враховано, що у періоді, коли сталася страхова подія, суми резервів враховували події, що сталися, тобто ці суми мають бути зменшені на "зарезервовані" витрати
під ці події</t>
        </r>
      </text>
    </comment>
    <comment ref="C69" authorId="0" shapeId="0">
      <text>
        <r>
          <rPr>
            <sz val="9"/>
            <color indexed="81"/>
            <rFont val="Tahoma"/>
            <family val="2"/>
            <charset val="204"/>
          </rPr>
          <t>АГП віднесені на витрати згідно з МСФЗ 17.59а</t>
        </r>
      </text>
    </comment>
  </commentList>
</comments>
</file>

<file path=xl/comments3.xml><?xml version="1.0" encoding="utf-8"?>
<comments xmlns="http://schemas.openxmlformats.org/spreadsheetml/2006/main">
  <authors>
    <author>Сіухіна Катерина Миколаївна</author>
  </authors>
  <commentList>
    <comment ref="G5" authorId="0" shapeId="0">
      <text>
        <r>
          <rPr>
            <sz val="9"/>
            <color indexed="81"/>
            <rFont val="Tahoma"/>
            <family val="2"/>
            <charset val="204"/>
          </rPr>
          <t xml:space="preserve">після початку нового звітного року, нові контракти включаються до нової когорти
</t>
        </r>
      </text>
    </comment>
    <comment ref="H7" authorId="0" shapeId="0">
      <text>
        <r>
          <rPr>
            <sz val="9"/>
            <color indexed="81"/>
            <rFont val="Tahoma"/>
            <family val="2"/>
            <charset val="204"/>
          </rPr>
          <t xml:space="preserve">жирним виділені періоди, коли відбулись страхові події
</t>
        </r>
      </text>
    </comment>
    <comment ref="F10" authorId="0" shapeId="0">
      <text>
        <r>
          <rPr>
            <sz val="9"/>
            <color indexed="81"/>
            <rFont val="Tahoma"/>
            <family val="2"/>
            <charset val="204"/>
          </rPr>
          <t>вимоги були підписані у 4-му кварталі</t>
        </r>
      </text>
    </comment>
    <comment ref="H23" authorId="0" shapeId="0">
      <text>
        <r>
          <rPr>
            <sz val="9"/>
            <color indexed="81"/>
            <rFont val="Tahoma"/>
            <family val="2"/>
            <charset val="204"/>
          </rPr>
          <t xml:space="preserve">усі повідомлення, що відбулася страхова подія, надійшло у цьому ж кварталі
</t>
        </r>
      </text>
    </comment>
    <comment ref="F31" authorId="0" shapeId="0">
      <text>
        <r>
          <rPr>
            <sz val="9"/>
            <color indexed="81"/>
            <rFont val="Tahoma"/>
            <charset val="1"/>
          </rPr>
          <t xml:space="preserve">залишок після первісного визнання
</t>
        </r>
      </text>
    </comment>
    <comment ref="C67" authorId="0" shapeId="0">
      <text>
        <r>
          <rPr>
            <sz val="9"/>
            <color indexed="81"/>
            <rFont val="Tahoma"/>
            <family val="2"/>
            <charset val="204"/>
          </rPr>
          <t>АГП віднесені на витрати згідно з МСФЗ 17.59а</t>
        </r>
      </text>
    </comment>
  </commentList>
</comments>
</file>

<file path=xl/sharedStrings.xml><?xml version="1.0" encoding="utf-8"?>
<sst xmlns="http://schemas.openxmlformats.org/spreadsheetml/2006/main" count="452" uniqueCount="130">
  <si>
    <t>Disclaimer</t>
  </si>
  <si>
    <t>Сума</t>
  </si>
  <si>
    <t>Дохід від страхування</t>
  </si>
  <si>
    <t>Амортизація аквізиційних грошових потоків</t>
  </si>
  <si>
    <t>Аквізиційні ГП, що віднесені на портфель</t>
  </si>
  <si>
    <t>Розкриття змін про узгодження в страхових контрактах</t>
  </si>
  <si>
    <t>Страховий контракт на початок періоду</t>
  </si>
  <si>
    <t>Страховий контракт на кінець періоду</t>
  </si>
  <si>
    <t xml:space="preserve">Витрати за страховими вимогами </t>
  </si>
  <si>
    <t>Інші понесені витрати на страхові послуги</t>
  </si>
  <si>
    <t>Витрати на страхові послуги за випущеними страховими контрактами</t>
  </si>
  <si>
    <t>Інформація, надана у цьому файлі, є інтерпретацією, висновком та думкою безпосередньо автора і не є офіційною думкою Національного банку України. Національний банк України не несе відповідальності за точність та будь-які інші дані, які наведені або на які здійснюється посилання у даному файлі. 
Національний банк та автор файлу не несуть відповідальності за використання даного файлу в робочих/навчальних або інших цілях і здійснюється під повну відповідальність особи, яка це здійснює.  
Права та дозволи: 
Матеріал у цій презентації захищений авторським правом. Копіювання та / або передача частин або всієї цієї роботи будь-якій стороні за межами Національного банку України без відповідного дозволу може бути порушенням чинного законодавства.
©2022 Національний банк України
Actuaries, insurers, regulators and other parties use the SOA's tools at their own risk. The SOA disclaims all responsibility for any party's use or misuse of its tools and for any work product generated through use or misuse of these tools and illustrations.</t>
  </si>
  <si>
    <t>місяць</t>
  </si>
  <si>
    <t>Комісійна винагорода агенту (аквізиційні витрати) сплачені</t>
  </si>
  <si>
    <t>Умови прикладу</t>
  </si>
  <si>
    <t xml:space="preserve">Страхові вимоги підписані </t>
  </si>
  <si>
    <t>Коригування на нефінансовий ризик</t>
  </si>
  <si>
    <t xml:space="preserve">Витрати на супровід, що віднесені на портфель </t>
  </si>
  <si>
    <t>Витрати (інші ніж на супровід), що віднесені на портфель</t>
  </si>
  <si>
    <t>Зобов'язання на залишок покриття  (підхід на основі розподілу премії)</t>
  </si>
  <si>
    <t>Залишок на початок періоду</t>
  </si>
  <si>
    <t>Премії, одержані у звітному періоді</t>
  </si>
  <si>
    <t>Суми, визнані як страховий дохід</t>
  </si>
  <si>
    <t>Залишок на кінець періоду</t>
  </si>
  <si>
    <t>Зобов'язання за страховими вимогами</t>
  </si>
  <si>
    <t>Сплачені вимоги та витрати</t>
  </si>
  <si>
    <t>Аквізиційні грошові потоки, сплачені у періоді, + розподілені</t>
  </si>
  <si>
    <t>Страхові вимоги за подіями, що сталися, за якими не надходили вимоги, або не підписані (за період)</t>
  </si>
  <si>
    <t>Страхові вимоги за подіями, що сталися, за якими не надходили вимоги, або не підписані (зміни)</t>
  </si>
  <si>
    <t>Коригування на нефінансовий ризик (зміни)</t>
  </si>
  <si>
    <t>Премії отримані відповідно до періоду покриття:</t>
  </si>
  <si>
    <t>АГП, відповідно до періоду покриття</t>
  </si>
  <si>
    <t>Збільшення (зменшення) через дохід від страхування</t>
  </si>
  <si>
    <t>Збільшення (зменшення) через страхові вимоги та інші понесені витрати на страхові послуги</t>
  </si>
  <si>
    <t>Збільшення (зменшення) через зміни, пов'язані з наданими в минулому послугами</t>
  </si>
  <si>
    <t>Збільшення (зменшення) через премії, одержані за випущеними страховими контрактами</t>
  </si>
  <si>
    <t>Збільшення (зменшення) через аквізиційні грошові потоки сплачені</t>
  </si>
  <si>
    <t>Збільшення (зменшення) через страхові вимоги та інші понесені витрати на страхові послуги (за винятком АГП) сплачені</t>
  </si>
  <si>
    <t xml:space="preserve">Страхові вимоги підписані: </t>
  </si>
  <si>
    <t>за подіями, що відбулися у попередньому звітному періоді</t>
  </si>
  <si>
    <t>за подіями, що відбулися у звітному періоді</t>
  </si>
  <si>
    <t>Збільшення (зменшення) через амортизацію аквізиційних грошових потоків</t>
  </si>
  <si>
    <r>
      <t xml:space="preserve">Прибуток (збиток) </t>
    </r>
    <r>
      <rPr>
        <b/>
        <sz val="11"/>
        <color rgb="FFFF0000"/>
        <rFont val="Times New Roman"/>
        <family val="1"/>
        <charset val="204"/>
      </rPr>
      <t>за портфелем</t>
    </r>
  </si>
  <si>
    <t>Звіт про прибутки та збитки (без нарастоючого підсумку)</t>
  </si>
  <si>
    <t xml:space="preserve">Проводки: </t>
  </si>
  <si>
    <t>Первісне визнання страхового контракту:</t>
  </si>
  <si>
    <t xml:space="preserve">Дебет </t>
  </si>
  <si>
    <t>Кредит</t>
  </si>
  <si>
    <t>у періоді до первісного визнання</t>
  </si>
  <si>
    <t>Сплата аквізиційних грошових потоків, що розподіляються на портфель</t>
  </si>
  <si>
    <t>Актив для АГП</t>
  </si>
  <si>
    <t>Грошові кошти</t>
  </si>
  <si>
    <t>На суму припинення визнання активу для АГП</t>
  </si>
  <si>
    <t>ЗЗП(АГП)</t>
  </si>
  <si>
    <t>місяць 1</t>
  </si>
  <si>
    <t>Отримання премій</t>
  </si>
  <si>
    <t>Сплата АГП (комісій)</t>
  </si>
  <si>
    <t>ЗЗП(Премії)</t>
  </si>
  <si>
    <t>Амортизація АГП</t>
  </si>
  <si>
    <t>Страхові витрати</t>
  </si>
  <si>
    <t>Визнання страхового доходу</t>
  </si>
  <si>
    <t>Страхові доходи</t>
  </si>
  <si>
    <t>Визання витрат на вимоги за подіями, що сталися, за якими не надходили вимоги, або не підписані</t>
  </si>
  <si>
    <t>Визнання витрат за підписаними вимогами</t>
  </si>
  <si>
    <t>ЗСВ(КЗ за виплатами)</t>
  </si>
  <si>
    <t>Визнання витрат за іншими витратами</t>
  </si>
  <si>
    <t>ЗСВ (КЗ за оренду)</t>
  </si>
  <si>
    <t>ЗСВ (КЗ на з/п адм.персоналу)</t>
  </si>
  <si>
    <t>ЗСВ (КЗ на утримання будівлі)</t>
  </si>
  <si>
    <t xml:space="preserve">ЗСВ (КЗ за з/п персоналу та ін.витрати) </t>
  </si>
  <si>
    <t>ЗСВ(IBNR, RBNS, RA)</t>
  </si>
  <si>
    <t xml:space="preserve">Сплата витрат за період </t>
  </si>
  <si>
    <t>ЗСВ (різні субрахунки)</t>
  </si>
  <si>
    <t>місяць 2</t>
  </si>
  <si>
    <t>Визання витрат на вимоги за подіями, що сталися, за якими не надходили вимоги, або не підписані за місяць 2</t>
  </si>
  <si>
    <t xml:space="preserve">Визнання витрат за витратами на супровід </t>
  </si>
  <si>
    <t>за подіями, що відбулися у попередньому місяці</t>
  </si>
  <si>
    <t>за подіями, що відбулися у звітному місяці</t>
  </si>
  <si>
    <t>Премії отримані (покриття починається не раніше ніж сплачена премія) - первісне визнання по сплаченій премії</t>
  </si>
  <si>
    <t>Премії отримані (договором допускається відстрочка платежу до 20 днів) - первісне визнання по періоду покриття/сплаченій премії</t>
  </si>
  <si>
    <t>квартал</t>
  </si>
  <si>
    <t xml:space="preserve">у місяці 1 </t>
  </si>
  <si>
    <t xml:space="preserve">у місяці 2 </t>
  </si>
  <si>
    <t>у місяці 3</t>
  </si>
  <si>
    <t>у місяці 4</t>
  </si>
  <si>
    <t>у місяці 5</t>
  </si>
  <si>
    <t>у місяці 6</t>
  </si>
  <si>
    <t>у місяці 7</t>
  </si>
  <si>
    <t>у місяці 8</t>
  </si>
  <si>
    <t>у місяці 9</t>
  </si>
  <si>
    <t>у місяці 10</t>
  </si>
  <si>
    <t>у місяці 11</t>
  </si>
  <si>
    <t>у місяці 12</t>
  </si>
  <si>
    <t>Розподіл отриманих премій на основі часу, що минає</t>
  </si>
  <si>
    <t>Аквізиційні грошові потоки, сплачені у періоді, + розподілені (згідно облікової політики, відносяться на витрати одразу при сплаті)</t>
  </si>
  <si>
    <t>Сплата АГП (комісій та АГП, що безпосередньо віднесені на портфель)</t>
  </si>
  <si>
    <t>1 кв. 2023</t>
  </si>
  <si>
    <t>2 кв. 2023</t>
  </si>
  <si>
    <t>Внески на МТСБУ сплачені</t>
  </si>
  <si>
    <t>ЗСВ (КЗ на МТСБУ)</t>
  </si>
  <si>
    <t>Витрати (інші ніж на супровід + МТСБУ), що віднесені на портфель</t>
  </si>
  <si>
    <r>
      <t xml:space="preserve">Прибуток (збиток) </t>
    </r>
    <r>
      <rPr>
        <b/>
        <sz val="11"/>
        <color rgb="FFFF0000"/>
        <rFont val="Times New Roman"/>
        <family val="1"/>
        <charset val="204"/>
      </rPr>
      <t xml:space="preserve">за групою прибуткових контратів (не кінцевий результат) </t>
    </r>
  </si>
  <si>
    <t>ПВ</t>
  </si>
  <si>
    <r>
      <t xml:space="preserve">Прибуток (збиток) </t>
    </r>
    <r>
      <rPr>
        <b/>
        <sz val="11"/>
        <color rgb="FFFF0000"/>
        <rFont val="Times New Roman"/>
        <family val="1"/>
        <charset val="204"/>
      </rPr>
      <t xml:space="preserve">за групою обтяжливих контратів (не кінцевий результат) </t>
    </r>
  </si>
  <si>
    <t>Збитковий компонент</t>
  </si>
  <si>
    <t>Сума можливих ГПВ, що стосуються ЗЗП, і перевищують БВ</t>
  </si>
  <si>
    <t>\</t>
  </si>
  <si>
    <t>Визнання збиткового компоненту</t>
  </si>
  <si>
    <t>Зменшення ЗК на суму вивільнення від ризику, понесеного у періоді</t>
  </si>
  <si>
    <t>ЗЗП(ЗК)</t>
  </si>
  <si>
    <t>ЗСВ (IBNR, RBNS, RA)</t>
  </si>
  <si>
    <t>4 кв. 2023</t>
  </si>
  <si>
    <t>1 кв. 2024</t>
  </si>
  <si>
    <t>ЗЗП без КЗ</t>
  </si>
  <si>
    <t>КЗ</t>
  </si>
  <si>
    <t>ЗСВ</t>
  </si>
  <si>
    <t>Зобов'язання за страховими контрактами</t>
  </si>
  <si>
    <t>Зобов'язання за страховими контрактами, початок періоду</t>
  </si>
  <si>
    <t>Витрати від страхування</t>
  </si>
  <si>
    <t>Фактичні витрати за подіями, що сталися та інші понесені витрати</t>
  </si>
  <si>
    <t>Зміни, пов'язані з наданими  в минулому послугами</t>
  </si>
  <si>
    <t>Зміни, пов'язані із майбутніми послугами - збитки за обтяжливими  контрактами і відновлення таких збитків</t>
  </si>
  <si>
    <t>Інвестиційні компоненти</t>
  </si>
  <si>
    <t>Грошові потоки за період:</t>
  </si>
  <si>
    <t>Премії одержані</t>
  </si>
  <si>
    <t>Аквізиційні грошові потоки сплачені</t>
  </si>
  <si>
    <t>Здійснені страхові виплати та інші витрати</t>
  </si>
  <si>
    <t>Фінансові доходи або витрати за страхуванням</t>
  </si>
  <si>
    <t>Зобов'язання за страховими контрактами, кінець періоду</t>
  </si>
  <si>
    <t>Узгодження по "Зеленій картці" за 2024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</si>
</sst>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_);\(#,##0.0\)"/>
  </numFmts>
  <fonts count="28" x14ac:knownFonts="1">
    <font>
      <sz val="11"/>
      <color theme="1"/>
      <name val="Calibri"/>
      <family val="2"/>
      <scheme val="minor"/>
    </font>
    <font>
      <sz val="11"/>
      <color theme="1"/>
      <name val="Calibri"/>
      <family val="2"/>
      <scheme val="minor"/>
    </font>
    <font>
      <b/>
      <u/>
      <sz val="13"/>
      <color rgb="FF9E0000"/>
      <name val="Calibri"/>
      <family val="2"/>
      <scheme val="minor"/>
    </font>
    <font>
      <sz val="12"/>
      <color rgb="FF9E0000"/>
      <name val="Calibri"/>
      <family val="2"/>
      <scheme val="minor"/>
    </font>
    <font>
      <sz val="11"/>
      <color rgb="FF9E0000"/>
      <name val="Calibri"/>
      <family val="2"/>
      <scheme val="minor"/>
    </font>
    <font>
      <b/>
      <sz val="12"/>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rgb="FF3366FF"/>
      <name val="Times New Roman"/>
      <family val="1"/>
      <charset val="204"/>
    </font>
    <font>
      <b/>
      <sz val="11"/>
      <name val="Times New Roman"/>
      <family val="1"/>
      <charset val="204"/>
    </font>
    <font>
      <sz val="11"/>
      <color theme="9" tint="-0.499984740745262"/>
      <name val="Calibri"/>
      <family val="2"/>
      <scheme val="minor"/>
    </font>
    <font>
      <sz val="9"/>
      <color indexed="81"/>
      <name val="Tahoma"/>
      <charset val="1"/>
    </font>
    <font>
      <b/>
      <sz val="9"/>
      <color indexed="81"/>
      <name val="Tahoma"/>
      <charset val="1"/>
    </font>
    <font>
      <sz val="9"/>
      <color indexed="81"/>
      <name val="Tahoma"/>
      <family val="2"/>
      <charset val="204"/>
    </font>
    <font>
      <b/>
      <sz val="11"/>
      <color rgb="FFFF0000"/>
      <name val="Times New Roman"/>
      <family val="1"/>
      <charset val="204"/>
    </font>
    <font>
      <b/>
      <sz val="9"/>
      <color indexed="81"/>
      <name val="Tahoma"/>
      <family val="2"/>
      <charset val="204"/>
    </font>
    <font>
      <sz val="8"/>
      <color indexed="81"/>
      <name val="Tahoma"/>
      <family val="2"/>
      <charset val="204"/>
    </font>
    <font>
      <b/>
      <sz val="11"/>
      <color rgb="FFFFFFFF"/>
      <name val="Calibri"/>
      <family val="2"/>
      <charset val="204"/>
    </font>
    <font>
      <sz val="11"/>
      <color rgb="FFFFFFFF"/>
      <name val="Calibri"/>
      <family val="2"/>
      <charset val="204"/>
    </font>
    <font>
      <b/>
      <sz val="11"/>
      <color rgb="FF000000"/>
      <name val="Calibri"/>
      <family val="2"/>
      <charset val="204"/>
    </font>
    <font>
      <sz val="11"/>
      <color rgb="FF7F7F7F"/>
      <name val="Calibri"/>
      <family val="2"/>
      <charset val="204"/>
    </font>
    <font>
      <b/>
      <sz val="10"/>
      <color rgb="FF000000"/>
      <name val="Calibri"/>
      <family val="2"/>
      <charset val="204"/>
    </font>
    <font>
      <sz val="10"/>
      <name val="Arial"/>
      <family val="2"/>
      <charset val="204"/>
    </font>
    <font>
      <sz val="10"/>
      <color rgb="FF7F7F7F"/>
      <name val="Calibri"/>
      <family val="2"/>
      <charset val="204"/>
    </font>
    <font>
      <sz val="10"/>
      <color theme="0" tint="-0.499984740745262"/>
      <name val="Arial"/>
      <family val="2"/>
      <charset val="204"/>
    </font>
    <font>
      <sz val="10"/>
      <color theme="0" tint="-0.499984740745262"/>
      <name val="Calibri"/>
      <family val="2"/>
      <charset val="204"/>
    </font>
    <font>
      <sz val="12"/>
      <name val="Arial"/>
      <family val="2"/>
      <charset val="204"/>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8D9DD0"/>
        <bgColor indexed="64"/>
      </patternFill>
    </fill>
    <fill>
      <patternFill patternType="solid">
        <fgColor rgb="FF50748A"/>
        <bgColor indexed="64"/>
      </patternFill>
    </fill>
    <fill>
      <patternFill patternType="solid">
        <fgColor rgb="FFEEF0F7"/>
        <bgColor indexed="64"/>
      </patternFill>
    </fill>
    <fill>
      <patternFill patternType="solid">
        <fgColor rgb="FFDBDFEE"/>
        <bgColor indexed="64"/>
      </patternFill>
    </fill>
    <fill>
      <patternFill patternType="solid">
        <fgColor theme="4"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9E0000"/>
      </left>
      <right/>
      <top style="thin">
        <color rgb="FF9E0000"/>
      </top>
      <bottom/>
      <diagonal/>
    </border>
    <border>
      <left style="thin">
        <color rgb="FF9E0000"/>
      </left>
      <right/>
      <top/>
      <bottom/>
      <diagonal/>
    </border>
    <border>
      <left style="thin">
        <color rgb="FF9E0000"/>
      </left>
      <right/>
      <top/>
      <bottom style="thin">
        <color rgb="FF9E0000"/>
      </bottom>
      <diagonal/>
    </border>
    <border>
      <left/>
      <right/>
      <top style="thin">
        <color rgb="FF9E0000"/>
      </top>
      <bottom/>
      <diagonal/>
    </border>
    <border>
      <left/>
      <right/>
      <top/>
      <bottom style="thin">
        <color rgb="FF9E0000"/>
      </bottom>
      <diagonal/>
    </border>
    <border>
      <left/>
      <right style="thin">
        <color rgb="FF9E0000"/>
      </right>
      <top style="thin">
        <color rgb="FF9E0000"/>
      </top>
      <bottom/>
      <diagonal/>
    </border>
    <border>
      <left/>
      <right style="thin">
        <color rgb="FF9E0000"/>
      </right>
      <top/>
      <bottom/>
      <diagonal/>
    </border>
    <border>
      <left/>
      <right style="thin">
        <color rgb="FF9E0000"/>
      </right>
      <top/>
      <bottom style="thin">
        <color rgb="FF9E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10">
    <xf numFmtId="0" fontId="0" fillId="0" borderId="0" xfId="0"/>
    <xf numFmtId="0" fontId="0" fillId="2" borderId="0" xfId="0" applyFill="1"/>
    <xf numFmtId="0" fontId="0" fillId="2" borderId="0" xfId="0" applyFill="1" applyAlignment="1">
      <alignment wrapText="1"/>
    </xf>
    <xf numFmtId="0" fontId="2" fillId="0" borderId="9" xfId="0" applyFont="1" applyBorder="1"/>
    <xf numFmtId="0" fontId="3" fillId="0" borderId="10" xfId="0" applyFont="1" applyBorder="1"/>
    <xf numFmtId="0" fontId="4" fillId="0" borderId="12" xfId="0" applyFont="1" applyBorder="1"/>
    <xf numFmtId="0" fontId="4" fillId="0" borderId="0" xfId="0" applyFont="1" applyBorder="1"/>
    <xf numFmtId="0" fontId="0" fillId="0" borderId="14" xfId="0" applyBorder="1"/>
    <xf numFmtId="0" fontId="0" fillId="0" borderId="15" xfId="0" applyBorder="1"/>
    <xf numFmtId="37" fontId="5" fillId="0" borderId="0" xfId="2" applyNumberFormat="1" applyFont="1" applyFill="1" applyAlignment="1">
      <alignment horizontal="left"/>
    </xf>
    <xf numFmtId="37" fontId="6" fillId="0" borderId="0" xfId="0" applyNumberFormat="1" applyFont="1" applyFill="1" applyAlignment="1">
      <alignment horizontal="center"/>
    </xf>
    <xf numFmtId="37" fontId="6" fillId="0" borderId="0" xfId="2" applyNumberFormat="1" applyFont="1" applyFill="1" applyAlignment="1">
      <alignment horizontal="left"/>
    </xf>
    <xf numFmtId="37" fontId="6" fillId="0" borderId="0" xfId="0" applyNumberFormat="1" applyFont="1" applyAlignment="1">
      <alignment horizontal="center"/>
    </xf>
    <xf numFmtId="37" fontId="7" fillId="0" borderId="0" xfId="0" applyNumberFormat="1" applyFont="1" applyFill="1" applyAlignment="1">
      <alignment horizontal="center" wrapText="1"/>
    </xf>
    <xf numFmtId="37" fontId="6" fillId="0" borderId="2" xfId="0" applyNumberFormat="1" applyFont="1" applyFill="1" applyBorder="1" applyAlignment="1">
      <alignment horizontal="center"/>
    </xf>
    <xf numFmtId="37" fontId="6" fillId="0" borderId="3" xfId="0" applyNumberFormat="1" applyFont="1" applyFill="1" applyBorder="1" applyAlignment="1">
      <alignment horizontal="center"/>
    </xf>
    <xf numFmtId="37" fontId="6" fillId="0" borderId="0" xfId="0" applyNumberFormat="1" applyFont="1" applyFill="1" applyBorder="1" applyAlignment="1">
      <alignment horizontal="center"/>
    </xf>
    <xf numFmtId="37" fontId="6" fillId="0" borderId="5" xfId="0" applyNumberFormat="1" applyFont="1" applyFill="1" applyBorder="1" applyAlignment="1">
      <alignment horizontal="center"/>
    </xf>
    <xf numFmtId="37" fontId="6" fillId="0" borderId="7" xfId="0" applyNumberFormat="1" applyFont="1" applyFill="1" applyBorder="1" applyAlignment="1">
      <alignment horizontal="center"/>
    </xf>
    <xf numFmtId="37" fontId="6" fillId="0" borderId="8" xfId="0" applyNumberFormat="1" applyFont="1" applyFill="1" applyBorder="1" applyAlignment="1">
      <alignment horizontal="center"/>
    </xf>
    <xf numFmtId="37" fontId="6" fillId="0" borderId="0" xfId="0" applyNumberFormat="1" applyFont="1" applyFill="1" applyAlignment="1">
      <alignment horizontal="left"/>
    </xf>
    <xf numFmtId="37" fontId="7" fillId="0" borderId="0" xfId="0" applyNumberFormat="1" applyFont="1" applyFill="1" applyAlignment="1">
      <alignment horizontal="center"/>
    </xf>
    <xf numFmtId="37" fontId="7" fillId="0" borderId="0" xfId="0" applyNumberFormat="1" applyFont="1" applyFill="1" applyBorder="1" applyAlignment="1">
      <alignment horizontal="center"/>
    </xf>
    <xf numFmtId="37" fontId="7" fillId="0" borderId="5" xfId="0" applyNumberFormat="1" applyFont="1" applyFill="1" applyBorder="1" applyAlignment="1">
      <alignment horizontal="center"/>
    </xf>
    <xf numFmtId="37" fontId="7" fillId="0" borderId="7" xfId="0" applyNumberFormat="1" applyFont="1" applyFill="1" applyBorder="1" applyAlignment="1">
      <alignment horizontal="center"/>
    </xf>
    <xf numFmtId="37" fontId="7" fillId="0" borderId="8" xfId="0" applyNumberFormat="1" applyFont="1" applyFill="1" applyBorder="1" applyAlignment="1">
      <alignment horizontal="center"/>
    </xf>
    <xf numFmtId="37" fontId="6" fillId="0" borderId="0" xfId="0" applyNumberFormat="1" applyFont="1" applyFill="1" applyAlignment="1">
      <alignment horizontal="center" wrapText="1"/>
    </xf>
    <xf numFmtId="9" fontId="9" fillId="0" borderId="0" xfId="1" applyFont="1" applyFill="1" applyAlignment="1">
      <alignment horizontal="center"/>
    </xf>
    <xf numFmtId="9" fontId="6" fillId="0" borderId="0" xfId="1" applyFont="1" applyFill="1" applyAlignment="1">
      <alignment horizontal="center"/>
    </xf>
    <xf numFmtId="37" fontId="8" fillId="0" borderId="0" xfId="0" applyNumberFormat="1" applyFont="1" applyFill="1" applyAlignment="1">
      <alignment horizontal="center"/>
    </xf>
    <xf numFmtId="37" fontId="6" fillId="0" borderId="19" xfId="0" applyNumberFormat="1" applyFont="1" applyFill="1" applyBorder="1" applyAlignment="1">
      <alignment horizontal="center"/>
    </xf>
    <xf numFmtId="37" fontId="6" fillId="0" borderId="19" xfId="0" applyNumberFormat="1" applyFont="1" applyFill="1" applyBorder="1" applyAlignment="1">
      <alignment horizontal="left"/>
    </xf>
    <xf numFmtId="37" fontId="7" fillId="0" borderId="18" xfId="0" applyNumberFormat="1" applyFont="1" applyFill="1" applyBorder="1" applyAlignment="1">
      <alignment horizontal="left"/>
    </xf>
    <xf numFmtId="37" fontId="6" fillId="0" borderId="4" xfId="0" applyNumberFormat="1" applyFont="1" applyFill="1" applyBorder="1" applyAlignment="1">
      <alignment horizontal="center"/>
    </xf>
    <xf numFmtId="37" fontId="7" fillId="0" borderId="0" xfId="0" applyNumberFormat="1" applyFont="1" applyFill="1" applyBorder="1" applyAlignment="1">
      <alignment horizontal="center" wrapText="1"/>
    </xf>
    <xf numFmtId="37" fontId="7" fillId="0" borderId="17" xfId="0" applyNumberFormat="1" applyFont="1" applyFill="1" applyBorder="1" applyAlignment="1">
      <alignment horizontal="center" wrapText="1"/>
    </xf>
    <xf numFmtId="37" fontId="6" fillId="0" borderId="19" xfId="0" applyNumberFormat="1" applyFont="1" applyFill="1" applyBorder="1" applyAlignment="1">
      <alignment horizontal="left" wrapText="1"/>
    </xf>
    <xf numFmtId="37" fontId="6" fillId="0" borderId="19" xfId="0" applyNumberFormat="1" applyFont="1" applyBorder="1" applyAlignment="1">
      <alignment horizontal="left"/>
    </xf>
    <xf numFmtId="37" fontId="7" fillId="0" borderId="18" xfId="0" applyNumberFormat="1" applyFont="1" applyFill="1" applyBorder="1" applyAlignment="1">
      <alignment horizontal="center" wrapText="1"/>
    </xf>
    <xf numFmtId="37" fontId="6" fillId="0" borderId="19" xfId="0" applyNumberFormat="1" applyFont="1" applyFill="1" applyBorder="1" applyAlignment="1">
      <alignment horizontal="center" wrapText="1"/>
    </xf>
    <xf numFmtId="37" fontId="6" fillId="3" borderId="0" xfId="0" applyNumberFormat="1" applyFont="1" applyFill="1" applyAlignment="1">
      <alignment horizontal="center"/>
    </xf>
    <xf numFmtId="37" fontId="6" fillId="4" borderId="0" xfId="0" applyNumberFormat="1" applyFont="1" applyFill="1" applyAlignment="1">
      <alignment horizontal="center"/>
    </xf>
    <xf numFmtId="37" fontId="6" fillId="5" borderId="0" xfId="0" applyNumberFormat="1" applyFont="1" applyFill="1" applyAlignment="1">
      <alignment horizontal="center"/>
    </xf>
    <xf numFmtId="37" fontId="7" fillId="0" borderId="17" xfId="0" applyNumberFormat="1" applyFont="1" applyFill="1" applyBorder="1" applyAlignment="1">
      <alignment horizontal="left"/>
    </xf>
    <xf numFmtId="37" fontId="6" fillId="0" borderId="0" xfId="0" applyNumberFormat="1" applyFont="1" applyFill="1" applyBorder="1" applyAlignment="1">
      <alignment horizontal="center" wrapText="1"/>
    </xf>
    <xf numFmtId="37" fontId="6" fillId="0" borderId="17" xfId="0" applyNumberFormat="1" applyFont="1" applyBorder="1" applyAlignment="1">
      <alignment horizontal="left" wrapText="1"/>
    </xf>
    <xf numFmtId="37" fontId="6" fillId="0" borderId="19" xfId="0" applyNumberFormat="1" applyFont="1" applyBorder="1" applyAlignment="1">
      <alignment horizontal="left" wrapText="1"/>
    </xf>
    <xf numFmtId="37" fontId="6" fillId="0" borderId="18" xfId="0" applyNumberFormat="1" applyFont="1" applyFill="1" applyBorder="1" applyAlignment="1">
      <alignment horizontal="left" wrapText="1"/>
    </xf>
    <xf numFmtId="37" fontId="7" fillId="0" borderId="2" xfId="0" applyNumberFormat="1" applyFont="1" applyFill="1" applyBorder="1" applyAlignment="1">
      <alignment horizontal="center"/>
    </xf>
    <xf numFmtId="37" fontId="7" fillId="0" borderId="3" xfId="0" applyNumberFormat="1" applyFont="1" applyFill="1" applyBorder="1" applyAlignment="1">
      <alignment horizontal="center"/>
    </xf>
    <xf numFmtId="37" fontId="10" fillId="0" borderId="17" xfId="0" applyNumberFormat="1" applyFont="1" applyFill="1" applyBorder="1" applyAlignment="1">
      <alignment horizontal="left"/>
    </xf>
    <xf numFmtId="37" fontId="10" fillId="0" borderId="19" xfId="0" applyNumberFormat="1" applyFont="1" applyFill="1" applyBorder="1" applyAlignment="1">
      <alignment horizontal="left"/>
    </xf>
    <xf numFmtId="37" fontId="8" fillId="0" borderId="19" xfId="0" applyNumberFormat="1" applyFont="1" applyFill="1" applyBorder="1" applyAlignment="1">
      <alignment horizontal="left"/>
    </xf>
    <xf numFmtId="0" fontId="8" fillId="0" borderId="19" xfId="0" applyFont="1" applyBorder="1" applyAlignment="1">
      <alignment horizontal="left" wrapText="1"/>
    </xf>
    <xf numFmtId="0" fontId="10" fillId="0" borderId="19" xfId="0" applyFont="1" applyBorder="1" applyAlignment="1">
      <alignment horizontal="left" wrapText="1"/>
    </xf>
    <xf numFmtId="37" fontId="7" fillId="0" borderId="19" xfId="0" applyNumberFormat="1" applyFont="1" applyFill="1" applyBorder="1" applyAlignment="1">
      <alignment horizontal="center"/>
    </xf>
    <xf numFmtId="37" fontId="7" fillId="0" borderId="0" xfId="0" applyNumberFormat="1" applyFont="1" applyFill="1" applyAlignment="1">
      <alignment horizontal="left" wrapText="1"/>
    </xf>
    <xf numFmtId="37" fontId="7" fillId="0" borderId="1" xfId="0" applyNumberFormat="1" applyFont="1" applyFill="1" applyBorder="1" applyAlignment="1">
      <alignment horizontal="center"/>
    </xf>
    <xf numFmtId="37" fontId="6" fillId="0" borderId="6" xfId="0" applyNumberFormat="1" applyFont="1" applyFill="1" applyBorder="1" applyAlignment="1">
      <alignment horizontal="center" wrapText="1"/>
    </xf>
    <xf numFmtId="37" fontId="6" fillId="0" borderId="7" xfId="0" applyNumberFormat="1" applyFont="1" applyFill="1" applyBorder="1" applyAlignment="1">
      <alignment horizontal="center" wrapText="1"/>
    </xf>
    <xf numFmtId="37" fontId="6" fillId="0" borderId="6" xfId="0" applyNumberFormat="1" applyFont="1" applyFill="1" applyBorder="1" applyAlignment="1">
      <alignment horizontal="center"/>
    </xf>
    <xf numFmtId="37" fontId="6" fillId="0" borderId="4" xfId="0" applyNumberFormat="1" applyFont="1" applyFill="1" applyBorder="1" applyAlignment="1">
      <alignment horizontal="center" wrapText="1"/>
    </xf>
    <xf numFmtId="165" fontId="6" fillId="0" borderId="0" xfId="0" applyNumberFormat="1" applyFont="1" applyFill="1" applyBorder="1" applyAlignment="1">
      <alignment horizontal="center" wrapText="1"/>
    </xf>
    <xf numFmtId="37" fontId="8" fillId="0" borderId="7" xfId="0" applyNumberFormat="1" applyFont="1" applyFill="1" applyBorder="1" applyAlignment="1">
      <alignment horizontal="center"/>
    </xf>
    <xf numFmtId="37" fontId="8" fillId="0" borderId="8" xfId="0" applyNumberFormat="1" applyFont="1" applyFill="1" applyBorder="1" applyAlignment="1">
      <alignment horizontal="center"/>
    </xf>
    <xf numFmtId="37" fontId="6" fillId="0" borderId="4" xfId="0" applyNumberFormat="1" applyFont="1" applyFill="1" applyBorder="1" applyAlignment="1">
      <alignment horizontal="center" wrapText="1"/>
    </xf>
    <xf numFmtId="37" fontId="6" fillId="6" borderId="0" xfId="0" applyNumberFormat="1" applyFont="1" applyFill="1" applyAlignment="1">
      <alignment horizontal="center"/>
    </xf>
    <xf numFmtId="37" fontId="7" fillId="0" borderId="0" xfId="0" applyNumberFormat="1" applyFont="1" applyFill="1" applyAlignment="1">
      <alignment horizontal="left"/>
    </xf>
    <xf numFmtId="37" fontId="7" fillId="6" borderId="0" xfId="0" applyNumberFormat="1" applyFont="1" applyFill="1" applyAlignment="1">
      <alignment horizontal="center"/>
    </xf>
    <xf numFmtId="37" fontId="6" fillId="7" borderId="0" xfId="0" applyNumberFormat="1" applyFont="1" applyFill="1" applyAlignment="1">
      <alignment horizontal="center"/>
    </xf>
    <xf numFmtId="37" fontId="7" fillId="0" borderId="4" xfId="0" applyNumberFormat="1" applyFont="1" applyFill="1" applyBorder="1" applyAlignment="1">
      <alignment horizontal="center"/>
    </xf>
    <xf numFmtId="37" fontId="6" fillId="0" borderId="4" xfId="0" applyNumberFormat="1" applyFont="1" applyFill="1" applyBorder="1" applyAlignment="1">
      <alignment horizontal="center" wrapText="1"/>
    </xf>
    <xf numFmtId="0" fontId="18" fillId="8" borderId="20" xfId="0" applyFont="1" applyFill="1" applyBorder="1" applyAlignment="1">
      <alignment horizontal="center" wrapText="1" readingOrder="1"/>
    </xf>
    <xf numFmtId="0" fontId="18" fillId="9" borderId="21" xfId="0" applyFont="1" applyFill="1" applyBorder="1" applyAlignment="1">
      <alignment horizontal="left" wrapText="1" readingOrder="1"/>
    </xf>
    <xf numFmtId="0" fontId="20" fillId="10" borderId="22" xfId="0" applyFont="1" applyFill="1" applyBorder="1" applyAlignment="1">
      <alignment horizontal="left" wrapText="1" readingOrder="1"/>
    </xf>
    <xf numFmtId="0" fontId="20" fillId="11" borderId="22" xfId="0" applyFont="1" applyFill="1" applyBorder="1" applyAlignment="1">
      <alignment horizontal="left" wrapText="1" readingOrder="1"/>
    </xf>
    <xf numFmtId="0" fontId="21" fillId="10" borderId="22" xfId="0" applyFont="1" applyFill="1" applyBorder="1" applyAlignment="1">
      <alignment horizontal="left" wrapText="1" indent="3" readingOrder="1"/>
    </xf>
    <xf numFmtId="0" fontId="21" fillId="11" borderId="22" xfId="0" applyFont="1" applyFill="1" applyBorder="1" applyAlignment="1">
      <alignment horizontal="left" wrapText="1" indent="3" readingOrder="1"/>
    </xf>
    <xf numFmtId="0" fontId="18" fillId="9" borderId="22" xfId="0" applyFont="1" applyFill="1" applyBorder="1" applyAlignment="1">
      <alignment horizontal="left" wrapText="1" readingOrder="1"/>
    </xf>
    <xf numFmtId="37" fontId="19" fillId="9" borderId="21" xfId="0" applyNumberFormat="1" applyFont="1" applyFill="1" applyBorder="1" applyAlignment="1">
      <alignment horizontal="right" wrapText="1" readingOrder="1"/>
    </xf>
    <xf numFmtId="37" fontId="19" fillId="9" borderId="22" xfId="0" applyNumberFormat="1" applyFont="1" applyFill="1" applyBorder="1" applyAlignment="1">
      <alignment horizontal="right" wrapText="1" readingOrder="1"/>
    </xf>
    <xf numFmtId="37" fontId="22" fillId="10" borderId="22" xfId="0" applyNumberFormat="1" applyFont="1" applyFill="1" applyBorder="1" applyAlignment="1">
      <alignment horizontal="right" wrapText="1" readingOrder="1"/>
    </xf>
    <xf numFmtId="0" fontId="23" fillId="10" borderId="22" xfId="0" applyFont="1" applyFill="1" applyBorder="1" applyAlignment="1">
      <alignment wrapText="1"/>
    </xf>
    <xf numFmtId="0" fontId="22" fillId="11" borderId="22" xfId="0" applyFont="1" applyFill="1" applyBorder="1" applyAlignment="1">
      <alignment horizontal="right" wrapText="1" readingOrder="1"/>
    </xf>
    <xf numFmtId="37" fontId="23" fillId="10" borderId="22" xfId="0" applyNumberFormat="1" applyFont="1" applyFill="1" applyBorder="1" applyAlignment="1">
      <alignment wrapText="1"/>
    </xf>
    <xf numFmtId="37" fontId="24" fillId="10" borderId="22" xfId="0" applyNumberFormat="1" applyFont="1" applyFill="1" applyBorder="1" applyAlignment="1">
      <alignment horizontal="right" wrapText="1" readingOrder="1"/>
    </xf>
    <xf numFmtId="0" fontId="23" fillId="11" borderId="22" xfId="0" applyFont="1" applyFill="1" applyBorder="1" applyAlignment="1">
      <alignment wrapText="1"/>
    </xf>
    <xf numFmtId="37" fontId="0" fillId="0" borderId="0" xfId="0" applyNumberFormat="1"/>
    <xf numFmtId="37" fontId="25" fillId="10" borderId="22" xfId="0" applyNumberFormat="1" applyFont="1" applyFill="1" applyBorder="1" applyAlignment="1">
      <alignment wrapText="1"/>
    </xf>
    <xf numFmtId="0" fontId="26" fillId="10" borderId="22" xfId="0" applyFont="1" applyFill="1" applyBorder="1" applyAlignment="1">
      <alignment horizontal="right" wrapText="1" readingOrder="1"/>
    </xf>
    <xf numFmtId="37" fontId="26" fillId="10" borderId="22" xfId="0" applyNumberFormat="1" applyFont="1" applyFill="1" applyBorder="1" applyAlignment="1">
      <alignment horizontal="right" wrapText="1" readingOrder="1"/>
    </xf>
    <xf numFmtId="0" fontId="25" fillId="11" borderId="22" xfId="0" applyFont="1" applyFill="1" applyBorder="1" applyAlignment="1">
      <alignment wrapText="1"/>
    </xf>
    <xf numFmtId="0" fontId="25" fillId="10" borderId="22" xfId="0" applyFont="1" applyFill="1" applyBorder="1" applyAlignment="1">
      <alignment wrapText="1"/>
    </xf>
    <xf numFmtId="37" fontId="26" fillId="11" borderId="22" xfId="0" applyNumberFormat="1" applyFont="1" applyFill="1" applyBorder="1" applyAlignment="1">
      <alignment horizontal="right" wrapText="1" readingOrder="1"/>
    </xf>
    <xf numFmtId="1" fontId="25" fillId="11" borderId="22" xfId="0" applyNumberFormat="1" applyFont="1" applyFill="1" applyBorder="1" applyAlignment="1">
      <alignment wrapText="1"/>
    </xf>
    <xf numFmtId="37" fontId="22" fillId="11" borderId="22" xfId="0" applyNumberFormat="1" applyFont="1" applyFill="1" applyBorder="1" applyAlignment="1">
      <alignment horizontal="right" wrapText="1" readingOrder="1"/>
    </xf>
    <xf numFmtId="0" fontId="27" fillId="8" borderId="20" xfId="0" applyFont="1" applyFill="1" applyBorder="1" applyAlignment="1">
      <alignment horizontal="center" vertical="top" wrapText="1"/>
    </xf>
    <xf numFmtId="37" fontId="6" fillId="0" borderId="1" xfId="0" applyNumberFormat="1" applyFont="1" applyFill="1" applyBorder="1" applyAlignment="1">
      <alignment horizontal="center"/>
    </xf>
    <xf numFmtId="37" fontId="6" fillId="12" borderId="0" xfId="0" applyNumberFormat="1" applyFont="1" applyFill="1" applyAlignment="1">
      <alignment horizontal="center"/>
    </xf>
    <xf numFmtId="1" fontId="22" fillId="11" borderId="22" xfId="0" applyNumberFormat="1" applyFont="1" applyFill="1" applyBorder="1" applyAlignment="1">
      <alignment horizontal="right" wrapText="1" readingOrder="1"/>
    </xf>
    <xf numFmtId="0" fontId="11" fillId="0" borderId="10" xfId="0" applyFont="1" applyBorder="1" applyAlignment="1">
      <alignment vertical="top" wrapText="1"/>
    </xf>
    <xf numFmtId="0" fontId="11" fillId="0" borderId="0" xfId="0" applyFont="1" applyBorder="1" applyAlignment="1">
      <alignment vertical="top" wrapText="1"/>
    </xf>
    <xf numFmtId="0" fontId="11" fillId="0" borderId="0" xfId="0" applyFont="1" applyBorder="1" applyAlignment="1">
      <alignment wrapText="1"/>
    </xf>
    <xf numFmtId="0" fontId="11" fillId="0" borderId="15" xfId="0" applyFont="1" applyBorder="1" applyAlignment="1">
      <alignment wrapText="1"/>
    </xf>
    <xf numFmtId="0" fontId="11" fillId="0" borderId="11" xfId="0" applyFont="1" applyBorder="1" applyAlignment="1">
      <alignment vertical="top" wrapText="1"/>
    </xf>
    <xf numFmtId="0" fontId="11" fillId="0" borderId="13" xfId="0" applyFont="1" applyBorder="1" applyAlignment="1">
      <alignment vertical="top" wrapText="1"/>
    </xf>
    <xf numFmtId="0" fontId="11" fillId="0" borderId="13" xfId="0" applyFont="1" applyBorder="1" applyAlignment="1">
      <alignment wrapText="1"/>
    </xf>
    <xf numFmtId="0" fontId="11" fillId="0" borderId="16" xfId="0" applyFont="1" applyBorder="1" applyAlignment="1">
      <alignment wrapText="1"/>
    </xf>
    <xf numFmtId="37" fontId="6" fillId="0" borderId="5" xfId="0" applyNumberFormat="1" applyFont="1" applyFill="1" applyBorder="1" applyAlignment="1">
      <alignment horizontal="center" vertical="center"/>
    </xf>
    <xf numFmtId="37" fontId="6" fillId="0" borderId="4" xfId="0" applyNumberFormat="1" applyFont="1" applyFill="1" applyBorder="1" applyAlignment="1">
      <alignment horizontal="center" wrapText="1"/>
    </xf>
  </cellXfs>
  <cellStyles count="3">
    <cellStyle name="Відсотковий" xfId="1" builtinId="5"/>
    <cellStyle name="Звичайний" xfId="0" builtinId="0"/>
    <cellStyle name="Фінансовий" xfId="2" builtinId="3"/>
  </cellStyles>
  <dxfs count="0"/>
  <tableStyles count="0" defaultTableStyle="TableStyleMedium2" defaultPivotStyle="PivotStyleLight16"/>
  <colors>
    <mruColors>
      <color rgb="FF3366FF"/>
      <color rgb="FF00FFCC"/>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15"/>
  <sheetViews>
    <sheetView showGridLines="0" tabSelected="1" workbookViewId="0">
      <selection activeCell="E18" sqref="E18"/>
    </sheetView>
  </sheetViews>
  <sheetFormatPr defaultColWidth="9.109375" defaultRowHeight="14.4" x14ac:dyDescent="0.3"/>
  <cols>
    <col min="1" max="1" width="2.33203125" style="1" customWidth="1"/>
    <col min="2" max="2" width="7" style="1" customWidth="1"/>
    <col min="3" max="4" width="9.109375" style="1" customWidth="1"/>
    <col min="5" max="9" width="9.109375" style="1"/>
    <col min="10" max="10" width="2.88671875" style="1" customWidth="1"/>
    <col min="11" max="11" width="1.88671875" style="1" customWidth="1"/>
    <col min="12" max="16384" width="9.109375" style="1"/>
  </cols>
  <sheetData>
    <row r="2" spans="3:11" ht="17.25" customHeight="1" x14ac:dyDescent="0.35">
      <c r="C2" s="3" t="s">
        <v>0</v>
      </c>
      <c r="D2" s="5"/>
      <c r="E2" s="5"/>
      <c r="F2" s="5"/>
      <c r="G2" s="5"/>
      <c r="H2" s="5"/>
      <c r="I2" s="5"/>
      <c r="J2" s="5"/>
      <c r="K2" s="7"/>
    </row>
    <row r="3" spans="3:11" ht="15.6" x14ac:dyDescent="0.3">
      <c r="C3" s="4"/>
      <c r="D3" s="6"/>
      <c r="E3" s="6"/>
      <c r="F3" s="6"/>
      <c r="G3" s="6"/>
      <c r="H3" s="6"/>
      <c r="I3" s="6"/>
      <c r="J3" s="6"/>
      <c r="K3" s="8"/>
    </row>
    <row r="4" spans="3:11" x14ac:dyDescent="0.3">
      <c r="C4" s="100" t="s">
        <v>11</v>
      </c>
      <c r="D4" s="101"/>
      <c r="E4" s="101"/>
      <c r="F4" s="101"/>
      <c r="G4" s="101"/>
      <c r="H4" s="101"/>
      <c r="I4" s="101"/>
      <c r="J4" s="102"/>
      <c r="K4" s="103"/>
    </row>
    <row r="5" spans="3:11" s="2" customFormat="1" x14ac:dyDescent="0.3">
      <c r="C5" s="100"/>
      <c r="D5" s="101"/>
      <c r="E5" s="101"/>
      <c r="F5" s="101"/>
      <c r="G5" s="101"/>
      <c r="H5" s="101"/>
      <c r="I5" s="101"/>
      <c r="J5" s="102"/>
      <c r="K5" s="103"/>
    </row>
    <row r="6" spans="3:11" x14ac:dyDescent="0.3">
      <c r="C6" s="100"/>
      <c r="D6" s="101"/>
      <c r="E6" s="101"/>
      <c r="F6" s="101"/>
      <c r="G6" s="101"/>
      <c r="H6" s="101"/>
      <c r="I6" s="101"/>
      <c r="J6" s="102"/>
      <c r="K6" s="103"/>
    </row>
    <row r="7" spans="3:11" x14ac:dyDescent="0.3">
      <c r="C7" s="100"/>
      <c r="D7" s="101"/>
      <c r="E7" s="101"/>
      <c r="F7" s="101"/>
      <c r="G7" s="101"/>
      <c r="H7" s="101"/>
      <c r="I7" s="101"/>
      <c r="J7" s="102"/>
      <c r="K7" s="103"/>
    </row>
    <row r="8" spans="3:11" x14ac:dyDescent="0.3">
      <c r="C8" s="100"/>
      <c r="D8" s="101"/>
      <c r="E8" s="101"/>
      <c r="F8" s="101"/>
      <c r="G8" s="101"/>
      <c r="H8" s="101"/>
      <c r="I8" s="101"/>
      <c r="J8" s="102"/>
      <c r="K8" s="103"/>
    </row>
    <row r="9" spans="3:11" x14ac:dyDescent="0.3">
      <c r="C9" s="100"/>
      <c r="D9" s="101"/>
      <c r="E9" s="101"/>
      <c r="F9" s="101"/>
      <c r="G9" s="101"/>
      <c r="H9" s="101"/>
      <c r="I9" s="101"/>
      <c r="J9" s="102"/>
      <c r="K9" s="103"/>
    </row>
    <row r="10" spans="3:11" x14ac:dyDescent="0.3">
      <c r="C10" s="100"/>
      <c r="D10" s="101"/>
      <c r="E10" s="101"/>
      <c r="F10" s="101"/>
      <c r="G10" s="101"/>
      <c r="H10" s="101"/>
      <c r="I10" s="101"/>
      <c r="J10" s="102"/>
      <c r="K10" s="103"/>
    </row>
    <row r="11" spans="3:11" x14ac:dyDescent="0.3">
      <c r="C11" s="100"/>
      <c r="D11" s="101"/>
      <c r="E11" s="101"/>
      <c r="F11" s="101"/>
      <c r="G11" s="101"/>
      <c r="H11" s="101"/>
      <c r="I11" s="101"/>
      <c r="J11" s="102"/>
      <c r="K11" s="103"/>
    </row>
    <row r="12" spans="3:11" x14ac:dyDescent="0.3">
      <c r="C12" s="100"/>
      <c r="D12" s="101"/>
      <c r="E12" s="101"/>
      <c r="F12" s="101"/>
      <c r="G12" s="101"/>
      <c r="H12" s="101"/>
      <c r="I12" s="101"/>
      <c r="J12" s="102"/>
      <c r="K12" s="103"/>
    </row>
    <row r="13" spans="3:11" x14ac:dyDescent="0.3">
      <c r="C13" s="100"/>
      <c r="D13" s="101"/>
      <c r="E13" s="101"/>
      <c r="F13" s="101"/>
      <c r="G13" s="101"/>
      <c r="H13" s="101"/>
      <c r="I13" s="101"/>
      <c r="J13" s="102"/>
      <c r="K13" s="103"/>
    </row>
    <row r="14" spans="3:11" x14ac:dyDescent="0.3">
      <c r="C14" s="104"/>
      <c r="D14" s="105"/>
      <c r="E14" s="105"/>
      <c r="F14" s="105"/>
      <c r="G14" s="105"/>
      <c r="H14" s="105"/>
      <c r="I14" s="105"/>
      <c r="J14" s="106"/>
      <c r="K14" s="107"/>
    </row>
    <row r="15" spans="3:11" s="2" customFormat="1" x14ac:dyDescent="0.3"/>
  </sheetData>
  <mergeCells count="1">
    <mergeCell ref="C4:K14"/>
  </mergeCells>
  <pageMargins left="0.25" right="0.25" top="0.75" bottom="0.75" header="0.3" footer="0.3"/>
  <pageSetup paperSize="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18"/>
  <sheetViews>
    <sheetView zoomScaleNormal="100" workbookViewId="0">
      <pane ySplit="5" topLeftCell="A12" activePane="bottomLeft" state="frozen"/>
      <selection pane="bottomLeft" activeCell="F19" sqref="F19"/>
    </sheetView>
  </sheetViews>
  <sheetFormatPr defaultColWidth="9.109375" defaultRowHeight="13.8" x14ac:dyDescent="0.25"/>
  <cols>
    <col min="1" max="1" width="4.109375" style="10" customWidth="1"/>
    <col min="2" max="2" width="4.5546875" style="10" customWidth="1"/>
    <col min="3" max="3" width="47.5546875" style="10" customWidth="1"/>
    <col min="4" max="4" width="1.33203125" style="10" customWidth="1"/>
    <col min="5" max="5" width="19.88671875" style="10" customWidth="1"/>
    <col min="6" max="6" width="19.6640625" style="10" customWidth="1"/>
    <col min="7" max="7" width="11.6640625" style="10" customWidth="1"/>
    <col min="8" max="8" width="13.33203125" style="10" customWidth="1"/>
    <col min="9" max="9" width="11.6640625" style="10" customWidth="1"/>
    <col min="10" max="10" width="12.88671875" style="10" customWidth="1"/>
    <col min="11" max="15" width="10.44140625" style="10" bestFit="1" customWidth="1"/>
    <col min="16" max="16" width="10.6640625" style="10" customWidth="1"/>
    <col min="17" max="17" width="10.77734375" style="10" customWidth="1"/>
    <col min="18" max="18" width="11.21875" style="10" customWidth="1"/>
    <col min="19" max="19" width="10.21875" style="10" customWidth="1"/>
    <col min="20" max="20" width="10.109375" style="10" customWidth="1"/>
    <col min="21" max="21" width="10.5546875" style="10" customWidth="1"/>
    <col min="22" max="22" width="9.88671875" style="10" customWidth="1"/>
    <col min="23" max="23" width="10.44140625" style="10" customWidth="1"/>
    <col min="24" max="24" width="9.6640625" style="10" bestFit="1" customWidth="1"/>
    <col min="25" max="26" width="10.109375" style="10" customWidth="1"/>
    <col min="27" max="27" width="10.44140625" style="10" customWidth="1"/>
    <col min="28" max="28" width="10.109375" style="10" customWidth="1"/>
    <col min="29" max="29" width="10.33203125" style="10" customWidth="1"/>
    <col min="30" max="30" width="10.6640625" style="10" customWidth="1"/>
    <col min="31" max="16384" width="9.109375" style="10"/>
  </cols>
  <sheetData>
    <row r="1" spans="2:29" x14ac:dyDescent="0.25">
      <c r="C1" s="21"/>
    </row>
    <row r="2" spans="2:29" ht="15.6" x14ac:dyDescent="0.3">
      <c r="B2" s="9"/>
    </row>
    <row r="3" spans="2:29" x14ac:dyDescent="0.25">
      <c r="B3" s="11"/>
      <c r="C3" s="21" t="s">
        <v>14</v>
      </c>
    </row>
    <row r="4" spans="2:29" x14ac:dyDescent="0.25">
      <c r="E4" s="10" t="s">
        <v>12</v>
      </c>
      <c r="F4" s="10" t="s">
        <v>12</v>
      </c>
      <c r="G4" s="10" t="s">
        <v>12</v>
      </c>
      <c r="H4" s="10" t="s">
        <v>12</v>
      </c>
      <c r="I4" s="10" t="s">
        <v>12</v>
      </c>
      <c r="J4" s="10" t="s">
        <v>12</v>
      </c>
      <c r="K4" s="10" t="s">
        <v>12</v>
      </c>
      <c r="L4" s="10" t="s">
        <v>12</v>
      </c>
      <c r="M4" s="10" t="s">
        <v>12</v>
      </c>
      <c r="N4" s="10" t="s">
        <v>12</v>
      </c>
      <c r="O4" s="10" t="s">
        <v>12</v>
      </c>
      <c r="P4" s="10" t="s">
        <v>12</v>
      </c>
      <c r="Q4" s="10" t="s">
        <v>12</v>
      </c>
      <c r="R4" s="10" t="s">
        <v>12</v>
      </c>
      <c r="S4" s="10" t="s">
        <v>12</v>
      </c>
      <c r="T4" s="10" t="s">
        <v>12</v>
      </c>
      <c r="U4" s="10" t="s">
        <v>12</v>
      </c>
      <c r="V4" s="10" t="s">
        <v>12</v>
      </c>
      <c r="W4" s="10" t="s">
        <v>12</v>
      </c>
      <c r="X4" s="10" t="s">
        <v>12</v>
      </c>
      <c r="Y4" s="10" t="s">
        <v>12</v>
      </c>
      <c r="Z4" s="10" t="s">
        <v>12</v>
      </c>
      <c r="AA4" s="10" t="s">
        <v>12</v>
      </c>
      <c r="AB4" s="10" t="s">
        <v>12</v>
      </c>
      <c r="AC4" s="10" t="s">
        <v>12</v>
      </c>
    </row>
    <row r="5" spans="2:29" ht="13.2" customHeight="1" x14ac:dyDescent="0.25">
      <c r="E5" s="10">
        <v>0</v>
      </c>
      <c r="F5" s="12">
        <v>1</v>
      </c>
      <c r="G5" s="12">
        <f>F5+1</f>
        <v>2</v>
      </c>
      <c r="H5" s="12">
        <f t="shared" ref="H5:Y5" si="0">G5+1</f>
        <v>3</v>
      </c>
      <c r="I5" s="12">
        <f t="shared" si="0"/>
        <v>4</v>
      </c>
      <c r="J5" s="12">
        <f t="shared" si="0"/>
        <v>5</v>
      </c>
      <c r="K5" s="12">
        <f t="shared" si="0"/>
        <v>6</v>
      </c>
      <c r="L5" s="12">
        <f t="shared" si="0"/>
        <v>7</v>
      </c>
      <c r="M5" s="12">
        <f t="shared" si="0"/>
        <v>8</v>
      </c>
      <c r="N5" s="12">
        <f t="shared" si="0"/>
        <v>9</v>
      </c>
      <c r="O5" s="12">
        <f t="shared" si="0"/>
        <v>10</v>
      </c>
      <c r="P5" s="12">
        <f t="shared" si="0"/>
        <v>11</v>
      </c>
      <c r="Q5" s="12">
        <f t="shared" si="0"/>
        <v>12</v>
      </c>
      <c r="R5" s="12">
        <f t="shared" si="0"/>
        <v>13</v>
      </c>
      <c r="S5" s="12">
        <f t="shared" si="0"/>
        <v>14</v>
      </c>
      <c r="T5" s="12">
        <f t="shared" si="0"/>
        <v>15</v>
      </c>
      <c r="U5" s="12">
        <f t="shared" si="0"/>
        <v>16</v>
      </c>
      <c r="V5" s="12">
        <f t="shared" si="0"/>
        <v>17</v>
      </c>
      <c r="W5" s="12">
        <f t="shared" si="0"/>
        <v>18</v>
      </c>
      <c r="X5" s="12">
        <f t="shared" si="0"/>
        <v>19</v>
      </c>
      <c r="Y5" s="12">
        <f t="shared" si="0"/>
        <v>20</v>
      </c>
      <c r="Z5" s="12">
        <f t="shared" ref="Z5" si="1">Y5+1</f>
        <v>21</v>
      </c>
      <c r="AA5" s="12">
        <f t="shared" ref="AA5" si="2">Z5+1</f>
        <v>22</v>
      </c>
      <c r="AB5" s="12">
        <f t="shared" ref="AB5" si="3">AA5+1</f>
        <v>23</v>
      </c>
      <c r="AC5" s="12">
        <f t="shared" ref="AC5" si="4">AB5+1</f>
        <v>24</v>
      </c>
    </row>
    <row r="6" spans="2:29" x14ac:dyDescent="0.25">
      <c r="C6" s="10" t="s">
        <v>30</v>
      </c>
      <c r="F6" s="12"/>
      <c r="G6" s="12"/>
      <c r="H6" s="12"/>
      <c r="I6" s="12"/>
      <c r="J6" s="12"/>
      <c r="K6" s="12"/>
      <c r="L6" s="12"/>
      <c r="M6" s="12"/>
      <c r="N6" s="12"/>
      <c r="O6" s="12"/>
      <c r="P6" s="12"/>
      <c r="Q6" s="12"/>
      <c r="R6" s="12"/>
      <c r="S6" s="12"/>
      <c r="T6" s="12"/>
      <c r="U6" s="12"/>
      <c r="V6" s="12"/>
      <c r="W6" s="12"/>
      <c r="X6" s="12"/>
      <c r="Y6" s="12"/>
    </row>
    <row r="7" spans="2:29" x14ac:dyDescent="0.25">
      <c r="C7" s="10" t="s">
        <v>81</v>
      </c>
      <c r="F7" s="41">
        <f>F22+0.2*G22</f>
        <v>413549.80000000005</v>
      </c>
      <c r="G7" s="41"/>
      <c r="H7" s="41"/>
      <c r="I7" s="41"/>
      <c r="J7" s="41"/>
      <c r="K7" s="41"/>
      <c r="L7" s="41"/>
      <c r="M7" s="41"/>
      <c r="N7" s="41"/>
      <c r="O7" s="41"/>
      <c r="P7" s="41"/>
      <c r="Q7" s="41"/>
      <c r="R7" s="42"/>
      <c r="U7" s="12"/>
      <c r="V7" s="12"/>
      <c r="W7" s="12"/>
      <c r="X7" s="12"/>
      <c r="Y7" s="12"/>
    </row>
    <row r="8" spans="2:29" x14ac:dyDescent="0.25">
      <c r="C8" s="10" t="s">
        <v>82</v>
      </c>
      <c r="F8" s="12"/>
      <c r="G8" s="40">
        <f>0.8*G$22+0.2*H$22</f>
        <v>618386.00000000012</v>
      </c>
      <c r="H8" s="40"/>
      <c r="I8" s="40"/>
      <c r="J8" s="40"/>
      <c r="K8" s="40"/>
      <c r="L8" s="40"/>
      <c r="M8" s="40"/>
      <c r="N8" s="40"/>
      <c r="O8" s="40"/>
      <c r="P8" s="40"/>
      <c r="Q8" s="40"/>
      <c r="R8" s="40"/>
      <c r="S8" s="42"/>
      <c r="V8" s="12"/>
      <c r="W8" s="12"/>
      <c r="X8" s="12"/>
      <c r="Y8" s="12"/>
    </row>
    <row r="9" spans="2:29" x14ac:dyDescent="0.25">
      <c r="C9" s="10" t="s">
        <v>83</v>
      </c>
      <c r="F9" s="12"/>
      <c r="G9" s="12"/>
      <c r="H9" s="41">
        <f>0.8*H$22+0.2*I$22</f>
        <v>351482</v>
      </c>
      <c r="I9" s="41"/>
      <c r="J9" s="41"/>
      <c r="K9" s="41"/>
      <c r="L9" s="41"/>
      <c r="M9" s="41"/>
      <c r="N9" s="41"/>
      <c r="O9" s="41"/>
      <c r="P9" s="41"/>
      <c r="Q9" s="41"/>
      <c r="R9" s="41"/>
      <c r="S9" s="41"/>
      <c r="T9" s="42"/>
      <c r="W9" s="12"/>
      <c r="X9" s="12"/>
      <c r="Y9" s="12"/>
    </row>
    <row r="10" spans="2:29" x14ac:dyDescent="0.25">
      <c r="C10" s="10" t="s">
        <v>84</v>
      </c>
      <c r="F10" s="12"/>
      <c r="G10" s="12"/>
      <c r="H10" s="12"/>
      <c r="I10" s="40">
        <f>0.8*I$22+0.2*J$22</f>
        <v>1134810</v>
      </c>
      <c r="J10" s="40"/>
      <c r="K10" s="40"/>
      <c r="L10" s="40"/>
      <c r="M10" s="40"/>
      <c r="N10" s="40"/>
      <c r="O10" s="40"/>
      <c r="P10" s="40"/>
      <c r="Q10" s="40"/>
      <c r="R10" s="40"/>
      <c r="S10" s="40"/>
      <c r="T10" s="40"/>
      <c r="U10" s="42"/>
      <c r="X10" s="12"/>
      <c r="Y10" s="12"/>
    </row>
    <row r="11" spans="2:29" x14ac:dyDescent="0.25">
      <c r="C11" s="10" t="s">
        <v>85</v>
      </c>
      <c r="F11" s="12"/>
      <c r="G11" s="12"/>
      <c r="H11" s="12"/>
      <c r="I11" s="12"/>
      <c r="J11" s="41">
        <f>0.8*J$22+0.2*K$22</f>
        <v>571196.6</v>
      </c>
      <c r="K11" s="41"/>
      <c r="L11" s="41"/>
      <c r="M11" s="41"/>
      <c r="N11" s="41"/>
      <c r="O11" s="41"/>
      <c r="P11" s="41"/>
      <c r="Q11" s="41"/>
      <c r="R11" s="41"/>
      <c r="S11" s="41"/>
      <c r="T11" s="41"/>
      <c r="U11" s="41"/>
      <c r="V11" s="42"/>
      <c r="Y11" s="12"/>
    </row>
    <row r="12" spans="2:29" x14ac:dyDescent="0.25">
      <c r="C12" s="10" t="s">
        <v>86</v>
      </c>
      <c r="F12" s="12"/>
      <c r="G12" s="12"/>
      <c r="H12" s="12"/>
      <c r="I12" s="12"/>
      <c r="J12" s="12"/>
      <c r="K12" s="40">
        <f>0.8*K$22+0.2*L$22</f>
        <v>236506.40000000002</v>
      </c>
      <c r="L12" s="40"/>
      <c r="M12" s="40"/>
      <c r="N12" s="40"/>
      <c r="O12" s="40"/>
      <c r="P12" s="40"/>
      <c r="Q12" s="40"/>
      <c r="R12" s="40"/>
      <c r="S12" s="40"/>
      <c r="T12" s="40"/>
      <c r="U12" s="40"/>
      <c r="V12" s="40"/>
      <c r="W12" s="42"/>
    </row>
    <row r="13" spans="2:29" x14ac:dyDescent="0.25">
      <c r="C13" s="10" t="s">
        <v>87</v>
      </c>
      <c r="F13" s="12"/>
      <c r="G13" s="12"/>
      <c r="H13" s="12"/>
      <c r="I13" s="12"/>
      <c r="J13" s="12"/>
      <c r="K13" s="12"/>
      <c r="L13" s="41">
        <f>0.8*L$22+0.2*M$22</f>
        <v>214362.80000000002</v>
      </c>
      <c r="M13" s="41"/>
      <c r="N13" s="41"/>
      <c r="O13" s="41"/>
      <c r="P13" s="41"/>
      <c r="Q13" s="41"/>
      <c r="R13" s="41"/>
      <c r="S13" s="41"/>
      <c r="T13" s="41"/>
      <c r="U13" s="41"/>
      <c r="V13" s="41"/>
      <c r="W13" s="41"/>
      <c r="X13" s="42"/>
    </row>
    <row r="14" spans="2:29" x14ac:dyDescent="0.25">
      <c r="C14" s="10" t="s">
        <v>88</v>
      </c>
      <c r="F14" s="12"/>
      <c r="G14" s="12"/>
      <c r="H14" s="12"/>
      <c r="I14" s="12"/>
      <c r="J14" s="12"/>
      <c r="K14" s="12"/>
      <c r="L14" s="12"/>
      <c r="M14" s="40">
        <f>0.8*M$22+0.2*N$22</f>
        <v>165101.20000000001</v>
      </c>
      <c r="N14" s="40"/>
      <c r="O14" s="40"/>
      <c r="P14" s="40"/>
      <c r="Q14" s="40"/>
      <c r="R14" s="40"/>
      <c r="S14" s="40"/>
      <c r="T14" s="40"/>
      <c r="U14" s="40"/>
      <c r="V14" s="40"/>
      <c r="W14" s="40"/>
      <c r="X14" s="40"/>
      <c r="Y14" s="42"/>
    </row>
    <row r="15" spans="2:29" x14ac:dyDescent="0.25">
      <c r="C15" s="10" t="s">
        <v>89</v>
      </c>
      <c r="F15" s="12"/>
      <c r="G15" s="12"/>
      <c r="H15" s="12"/>
      <c r="I15" s="12"/>
      <c r="J15" s="12"/>
      <c r="K15" s="12"/>
      <c r="L15" s="12"/>
      <c r="M15" s="12"/>
      <c r="N15" s="41">
        <f>0.8*N$22+0.2*O$22</f>
        <v>324063.60000000003</v>
      </c>
      <c r="O15" s="41"/>
      <c r="P15" s="41"/>
      <c r="Q15" s="41"/>
      <c r="R15" s="41"/>
      <c r="S15" s="41"/>
      <c r="T15" s="41"/>
      <c r="U15" s="41"/>
      <c r="V15" s="41"/>
      <c r="W15" s="41"/>
      <c r="X15" s="41"/>
      <c r="Y15" s="41"/>
      <c r="Z15" s="42"/>
    </row>
    <row r="16" spans="2:29" x14ac:dyDescent="0.25">
      <c r="C16" s="10" t="s">
        <v>90</v>
      </c>
      <c r="F16" s="12"/>
      <c r="G16" s="12"/>
      <c r="H16" s="12"/>
      <c r="I16" s="12"/>
      <c r="J16" s="12"/>
      <c r="K16" s="12"/>
      <c r="L16" s="12"/>
      <c r="M16" s="12"/>
      <c r="N16" s="12"/>
      <c r="O16" s="40">
        <f>0.8*O$22+0.2*P$22</f>
        <v>307943.2</v>
      </c>
      <c r="P16" s="40"/>
      <c r="Q16" s="40"/>
      <c r="R16" s="40"/>
      <c r="S16" s="40"/>
      <c r="T16" s="40"/>
      <c r="U16" s="40"/>
      <c r="V16" s="40"/>
      <c r="W16" s="40"/>
      <c r="X16" s="40"/>
      <c r="Y16" s="40"/>
      <c r="Z16" s="40"/>
      <c r="AA16" s="42"/>
    </row>
    <row r="17" spans="3:30" x14ac:dyDescent="0.25">
      <c r="C17" s="10" t="s">
        <v>91</v>
      </c>
      <c r="F17" s="12"/>
      <c r="G17" s="12"/>
      <c r="H17" s="12"/>
      <c r="I17" s="12"/>
      <c r="J17" s="12"/>
      <c r="K17" s="12"/>
      <c r="L17" s="12"/>
      <c r="M17" s="12"/>
      <c r="N17" s="12"/>
      <c r="O17" s="12"/>
      <c r="P17" s="41">
        <f>0.8*P$22+0.2*Q$22</f>
        <v>213927.60000000003</v>
      </c>
      <c r="Q17" s="41"/>
      <c r="R17" s="41"/>
      <c r="S17" s="41"/>
      <c r="T17" s="41"/>
      <c r="U17" s="41"/>
      <c r="V17" s="41"/>
      <c r="W17" s="41"/>
      <c r="X17" s="41"/>
      <c r="Y17" s="41"/>
      <c r="Z17" s="41"/>
      <c r="AA17" s="41"/>
      <c r="AB17" s="42"/>
    </row>
    <row r="18" spans="3:30" x14ac:dyDescent="0.25">
      <c r="C18" s="10" t="s">
        <v>92</v>
      </c>
      <c r="F18" s="12"/>
      <c r="G18" s="12"/>
      <c r="H18" s="12"/>
      <c r="I18" s="12"/>
      <c r="J18" s="12"/>
      <c r="K18" s="12"/>
      <c r="L18" s="12"/>
      <c r="M18" s="12"/>
      <c r="N18" s="12"/>
      <c r="O18" s="12"/>
      <c r="P18" s="12"/>
      <c r="Q18" s="40">
        <f>0.8*Q$22+R22</f>
        <v>154802.79999999999</v>
      </c>
      <c r="R18" s="40"/>
      <c r="S18" s="40"/>
      <c r="T18" s="40"/>
      <c r="U18" s="40"/>
      <c r="V18" s="40"/>
      <c r="W18" s="40"/>
      <c r="X18" s="40"/>
      <c r="Y18" s="40"/>
      <c r="Z18" s="40"/>
      <c r="AA18" s="40"/>
      <c r="AB18" s="40"/>
      <c r="AC18" s="42"/>
    </row>
    <row r="19" spans="3:30" x14ac:dyDescent="0.25">
      <c r="C19" s="10" t="s">
        <v>31</v>
      </c>
      <c r="F19" s="12">
        <f>SUM(F7:F18)*0.05</f>
        <v>20677.490000000005</v>
      </c>
      <c r="G19" s="12">
        <f t="shared" ref="G19:Q19" si="5">SUM(G7:G18)*0.05</f>
        <v>30919.300000000007</v>
      </c>
      <c r="H19" s="12">
        <f t="shared" si="5"/>
        <v>17574.100000000002</v>
      </c>
      <c r="I19" s="12">
        <f t="shared" si="5"/>
        <v>56740.5</v>
      </c>
      <c r="J19" s="12">
        <f t="shared" si="5"/>
        <v>28559.83</v>
      </c>
      <c r="K19" s="12">
        <f t="shared" si="5"/>
        <v>11825.320000000002</v>
      </c>
      <c r="L19" s="12">
        <f t="shared" si="5"/>
        <v>10718.140000000001</v>
      </c>
      <c r="M19" s="12">
        <f t="shared" si="5"/>
        <v>8255.0600000000013</v>
      </c>
      <c r="N19" s="12">
        <f t="shared" si="5"/>
        <v>16203.180000000002</v>
      </c>
      <c r="O19" s="12">
        <f t="shared" si="5"/>
        <v>15397.160000000002</v>
      </c>
      <c r="P19" s="12">
        <f t="shared" si="5"/>
        <v>10696.380000000003</v>
      </c>
      <c r="Q19" s="12">
        <f t="shared" si="5"/>
        <v>7740.1399999999994</v>
      </c>
      <c r="R19" s="12"/>
      <c r="S19" s="12"/>
      <c r="T19" s="12"/>
      <c r="U19" s="12"/>
      <c r="V19" s="12"/>
      <c r="W19" s="12"/>
      <c r="X19" s="12"/>
      <c r="Y19" s="12"/>
    </row>
    <row r="20" spans="3:30" x14ac:dyDescent="0.25">
      <c r="Q20" s="12"/>
    </row>
    <row r="21" spans="3:30" x14ac:dyDescent="0.25">
      <c r="C21" s="21" t="s">
        <v>14</v>
      </c>
      <c r="F21" s="12"/>
      <c r="G21" s="12"/>
      <c r="H21" s="12"/>
      <c r="I21" s="12"/>
      <c r="J21" s="12"/>
      <c r="K21" s="12"/>
      <c r="L21" s="12"/>
      <c r="M21" s="12"/>
      <c r="N21" s="12"/>
      <c r="O21" s="12"/>
      <c r="P21" s="12"/>
      <c r="Q21" s="12"/>
      <c r="R21" s="12"/>
      <c r="S21" s="12"/>
      <c r="T21" s="12"/>
      <c r="U21" s="12"/>
      <c r="V21" s="12"/>
      <c r="W21" s="12"/>
      <c r="X21" s="12"/>
      <c r="Y21" s="12"/>
    </row>
    <row r="22" spans="3:30" ht="41.4" x14ac:dyDescent="0.25">
      <c r="C22" s="45" t="s">
        <v>79</v>
      </c>
      <c r="D22" s="14"/>
      <c r="E22" s="14"/>
      <c r="F22" s="14">
        <v>265236</v>
      </c>
      <c r="G22" s="14">
        <v>741569</v>
      </c>
      <c r="H22" s="14">
        <v>125654</v>
      </c>
      <c r="I22" s="14">
        <v>1254794</v>
      </c>
      <c r="J22" s="14">
        <v>654874</v>
      </c>
      <c r="K22" s="14">
        <v>236487</v>
      </c>
      <c r="L22" s="14">
        <v>236584</v>
      </c>
      <c r="M22" s="14">
        <v>125478</v>
      </c>
      <c r="N22" s="14">
        <v>323594</v>
      </c>
      <c r="O22" s="14">
        <v>325942</v>
      </c>
      <c r="P22" s="14">
        <v>235948</v>
      </c>
      <c r="Q22" s="14">
        <v>125846</v>
      </c>
      <c r="R22" s="14">
        <v>54126</v>
      </c>
      <c r="S22" s="14"/>
      <c r="T22" s="14"/>
      <c r="U22" s="14"/>
      <c r="V22" s="14"/>
      <c r="W22" s="14"/>
      <c r="X22" s="14"/>
      <c r="Y22" s="14"/>
      <c r="Z22" s="14"/>
      <c r="AA22" s="14"/>
      <c r="AB22" s="14"/>
      <c r="AC22" s="15"/>
      <c r="AD22" s="10">
        <f>SUM(F22:AC22)</f>
        <v>4706132</v>
      </c>
    </row>
    <row r="23" spans="3:30" ht="27.6" x14ac:dyDescent="0.25">
      <c r="C23" s="46" t="s">
        <v>13</v>
      </c>
      <c r="D23" s="16"/>
      <c r="E23" s="16"/>
      <c r="F23" s="16">
        <f t="shared" ref="F23:R23" si="6">F22*0.05</f>
        <v>13261.800000000001</v>
      </c>
      <c r="G23" s="16">
        <f t="shared" si="6"/>
        <v>37078.450000000004</v>
      </c>
      <c r="H23" s="16">
        <f t="shared" si="6"/>
        <v>6282.7000000000007</v>
      </c>
      <c r="I23" s="16">
        <f t="shared" si="6"/>
        <v>62739.700000000004</v>
      </c>
      <c r="J23" s="16">
        <f t="shared" si="6"/>
        <v>32743.7</v>
      </c>
      <c r="K23" s="16">
        <f t="shared" si="6"/>
        <v>11824.35</v>
      </c>
      <c r="L23" s="16">
        <f t="shared" si="6"/>
        <v>11829.2</v>
      </c>
      <c r="M23" s="16">
        <f t="shared" si="6"/>
        <v>6273.9000000000005</v>
      </c>
      <c r="N23" s="16">
        <f t="shared" si="6"/>
        <v>16179.7</v>
      </c>
      <c r="O23" s="16">
        <f t="shared" si="6"/>
        <v>16297.1</v>
      </c>
      <c r="P23" s="16">
        <f t="shared" si="6"/>
        <v>11797.400000000001</v>
      </c>
      <c r="Q23" s="16">
        <f t="shared" si="6"/>
        <v>6292.3</v>
      </c>
      <c r="R23" s="16">
        <f t="shared" si="6"/>
        <v>2706.3</v>
      </c>
      <c r="S23" s="16"/>
      <c r="T23" s="16"/>
      <c r="U23" s="16"/>
      <c r="V23" s="16"/>
      <c r="W23" s="16"/>
      <c r="X23" s="16"/>
      <c r="Y23" s="16"/>
      <c r="Z23" s="16"/>
      <c r="AA23" s="16"/>
      <c r="AB23" s="16"/>
      <c r="AC23" s="17"/>
      <c r="AD23" s="10">
        <f t="shared" ref="AD23:AD31" si="7">SUM(F23:AC23)</f>
        <v>235306.60000000003</v>
      </c>
    </row>
    <row r="24" spans="3:30" x14ac:dyDescent="0.25">
      <c r="C24" s="31" t="s">
        <v>4</v>
      </c>
      <c r="D24" s="16"/>
      <c r="E24" s="16">
        <v>85649</v>
      </c>
      <c r="F24" s="16"/>
      <c r="G24" s="16"/>
      <c r="H24" s="16"/>
      <c r="I24" s="16"/>
      <c r="J24" s="16"/>
      <c r="K24" s="16"/>
      <c r="L24" s="16"/>
      <c r="M24" s="16"/>
      <c r="N24" s="16"/>
      <c r="O24" s="16"/>
      <c r="P24" s="16"/>
      <c r="Q24" s="16"/>
      <c r="R24" s="16"/>
      <c r="S24" s="16"/>
      <c r="T24" s="16"/>
      <c r="U24" s="16"/>
      <c r="V24" s="16"/>
      <c r="W24" s="16"/>
      <c r="X24" s="16"/>
      <c r="Y24" s="16"/>
      <c r="Z24" s="16"/>
      <c r="AA24" s="16"/>
      <c r="AB24" s="16"/>
      <c r="AC24" s="17"/>
      <c r="AD24" s="10">
        <f t="shared" si="7"/>
        <v>0</v>
      </c>
    </row>
    <row r="25" spans="3:30" x14ac:dyDescent="0.25">
      <c r="C25" s="31" t="s">
        <v>17</v>
      </c>
      <c r="D25" s="16"/>
      <c r="E25" s="16"/>
      <c r="F25" s="16">
        <v>14496.192647999998</v>
      </c>
      <c r="G25" s="16">
        <v>16443</v>
      </c>
      <c r="H25" s="16">
        <v>17139.452399999998</v>
      </c>
      <c r="I25" s="16">
        <v>11197.683000000001</v>
      </c>
      <c r="J25" s="16">
        <v>13698.480600000001</v>
      </c>
      <c r="K25" s="16">
        <v>20508.075000000001</v>
      </c>
      <c r="L25" s="16">
        <v>16486.848000000002</v>
      </c>
      <c r="M25" s="16">
        <v>12053.0844</v>
      </c>
      <c r="N25" s="16">
        <v>24095.2068</v>
      </c>
      <c r="O25" s="16">
        <v>28480.854527999996</v>
      </c>
      <c r="P25" s="16">
        <v>24637.75272</v>
      </c>
      <c r="Q25" s="16">
        <v>15863.943311999999</v>
      </c>
      <c r="R25" s="16">
        <v>15945.811912799998</v>
      </c>
      <c r="S25" s="16">
        <v>18087.300000000003</v>
      </c>
      <c r="T25" s="16">
        <v>18853.397640000003</v>
      </c>
      <c r="U25" s="16">
        <v>12317.451300000001</v>
      </c>
      <c r="V25" s="16">
        <v>15068.328660000001</v>
      </c>
      <c r="W25" s="16">
        <v>22558.882500000003</v>
      </c>
      <c r="X25" s="16">
        <v>18135.532800000004</v>
      </c>
      <c r="Y25" s="16">
        <v>13258.392840000002</v>
      </c>
      <c r="Z25" s="16">
        <v>26504.727480000005</v>
      </c>
      <c r="AA25" s="16">
        <v>31328.939980799998</v>
      </c>
      <c r="AB25" s="16">
        <v>27101.527992000003</v>
      </c>
      <c r="AC25" s="17">
        <v>17450.3376432</v>
      </c>
      <c r="AD25" s="10">
        <f t="shared" si="7"/>
        <v>451711.20415679994</v>
      </c>
    </row>
    <row r="26" spans="3:30" ht="27.6" x14ac:dyDescent="0.25">
      <c r="C26" s="36" t="s">
        <v>18</v>
      </c>
      <c r="D26" s="16"/>
      <c r="E26" s="16"/>
      <c r="F26" s="16">
        <v>9664.1284319999995</v>
      </c>
      <c r="G26" s="16">
        <v>10962</v>
      </c>
      <c r="H26" s="16">
        <v>11426.301600000001</v>
      </c>
      <c r="I26" s="16">
        <v>7465.1220000000003</v>
      </c>
      <c r="J26" s="16">
        <v>9132.3204000000005</v>
      </c>
      <c r="K26" s="16">
        <v>13672.050000000001</v>
      </c>
      <c r="L26" s="16">
        <v>10991.232</v>
      </c>
      <c r="M26" s="16">
        <v>8035.3896000000004</v>
      </c>
      <c r="N26" s="16">
        <v>16063.4712</v>
      </c>
      <c r="O26" s="16">
        <v>18987.236352</v>
      </c>
      <c r="P26" s="16">
        <v>16425.16848</v>
      </c>
      <c r="Q26" s="16">
        <v>10575.962208000001</v>
      </c>
      <c r="R26" s="16">
        <v>10630.541275199999</v>
      </c>
      <c r="S26" s="16">
        <v>12058.200000000003</v>
      </c>
      <c r="T26" s="16">
        <v>12568.931760000001</v>
      </c>
      <c r="U26" s="16">
        <v>8211.6342000000004</v>
      </c>
      <c r="V26" s="16">
        <v>10045.552440000001</v>
      </c>
      <c r="W26" s="16">
        <v>15039.255000000003</v>
      </c>
      <c r="X26" s="16">
        <v>12090.355200000002</v>
      </c>
      <c r="Y26" s="16">
        <v>8838.9285600000021</v>
      </c>
      <c r="Z26" s="16">
        <v>17669.818320000002</v>
      </c>
      <c r="AA26" s="16">
        <v>20885.9599872</v>
      </c>
      <c r="AB26" s="16">
        <v>18067.685328000003</v>
      </c>
      <c r="AC26" s="17">
        <v>8633.5584287999991</v>
      </c>
      <c r="AD26" s="10">
        <f t="shared" si="7"/>
        <v>298140.80277120002</v>
      </c>
    </row>
    <row r="27" spans="3:30" ht="27.6" x14ac:dyDescent="0.25">
      <c r="C27" s="36" t="s">
        <v>27</v>
      </c>
      <c r="D27" s="16"/>
      <c r="E27" s="16"/>
      <c r="F27" s="16">
        <v>4665.8407420800004</v>
      </c>
      <c r="G27" s="16">
        <v>6596.7300000000005</v>
      </c>
      <c r="H27" s="16">
        <v>6876.138164</v>
      </c>
      <c r="I27" s="16">
        <v>4492.3731299999999</v>
      </c>
      <c r="J27" s="16">
        <v>5495.6624659999998</v>
      </c>
      <c r="K27" s="16">
        <v>8227.5882500000007</v>
      </c>
      <c r="L27" s="16">
        <v>6614.3212800000001</v>
      </c>
      <c r="M27" s="16">
        <v>4835.5496839999996</v>
      </c>
      <c r="N27" s="16">
        <v>9666.7015480000009</v>
      </c>
      <c r="O27" s="16">
        <v>11426.169646079999</v>
      </c>
      <c r="P27" s="16">
        <v>9884.3643192</v>
      </c>
      <c r="Q27" s="16">
        <v>6364.4195563200001</v>
      </c>
      <c r="R27" s="16">
        <v>5132.4248162880003</v>
      </c>
      <c r="S27" s="16">
        <v>7256.4030000000012</v>
      </c>
      <c r="T27" s="16">
        <v>7563.7519804000012</v>
      </c>
      <c r="U27" s="16">
        <v>4941.6104430000005</v>
      </c>
      <c r="V27" s="16">
        <v>6045.2287126000001</v>
      </c>
      <c r="W27" s="16">
        <v>9050.3470750000015</v>
      </c>
      <c r="X27" s="16">
        <v>7275.7534080000014</v>
      </c>
      <c r="Y27" s="16">
        <v>5319.1046524000012</v>
      </c>
      <c r="Z27" s="16">
        <v>10633.371702800001</v>
      </c>
      <c r="AA27" s="16">
        <v>12568.786610687999</v>
      </c>
      <c r="AB27" s="16">
        <v>10872.800751120001</v>
      </c>
      <c r="AC27" s="17">
        <v>0</v>
      </c>
      <c r="AD27" s="10">
        <f t="shared" si="7"/>
        <v>171805.44193797602</v>
      </c>
    </row>
    <row r="28" spans="3:30" x14ac:dyDescent="0.25">
      <c r="C28" s="36" t="s">
        <v>16</v>
      </c>
      <c r="D28" s="16"/>
      <c r="E28" s="16"/>
      <c r="F28" s="16">
        <v>606.55929647040011</v>
      </c>
      <c r="G28" s="16">
        <v>857.57490000000007</v>
      </c>
      <c r="H28" s="16">
        <v>893.89796132000004</v>
      </c>
      <c r="I28" s="16">
        <v>584.00850690000004</v>
      </c>
      <c r="J28" s="16">
        <v>714.43612057999997</v>
      </c>
      <c r="K28" s="16">
        <v>1069.5864725000001</v>
      </c>
      <c r="L28" s="16">
        <v>859.86176640000008</v>
      </c>
      <c r="M28" s="16">
        <v>628.62145892000001</v>
      </c>
      <c r="N28" s="16">
        <v>1256.6712012400001</v>
      </c>
      <c r="O28" s="16">
        <v>1485.4020539904</v>
      </c>
      <c r="P28" s="16">
        <v>1284.967361496</v>
      </c>
      <c r="Q28" s="16">
        <v>827.37454232160007</v>
      </c>
      <c r="R28" s="16">
        <v>667.21522611744001</v>
      </c>
      <c r="S28" s="16">
        <v>943.33239000000015</v>
      </c>
      <c r="T28" s="16">
        <v>983.28775745200016</v>
      </c>
      <c r="U28" s="16">
        <v>642.40935759000013</v>
      </c>
      <c r="V28" s="16">
        <v>785.87973263800006</v>
      </c>
      <c r="W28" s="16">
        <v>1176.5451197500001</v>
      </c>
      <c r="X28" s="16">
        <v>945.84794304000025</v>
      </c>
      <c r="Y28" s="16">
        <v>691.48360481200018</v>
      </c>
      <c r="Z28" s="16">
        <v>1382.3383213640002</v>
      </c>
      <c r="AA28" s="16">
        <v>1633.9422593894399</v>
      </c>
      <c r="AB28" s="16">
        <v>1413.4640976456003</v>
      </c>
      <c r="AC28" s="17">
        <v>0</v>
      </c>
      <c r="AD28" s="10">
        <f t="shared" si="7"/>
        <v>22334.707451936883</v>
      </c>
    </row>
    <row r="29" spans="3:30" x14ac:dyDescent="0.25">
      <c r="C29" s="37" t="s">
        <v>38</v>
      </c>
      <c r="D29" s="16"/>
      <c r="E29" s="16"/>
      <c r="F29" s="16">
        <v>31828.32</v>
      </c>
      <c r="G29" s="16">
        <v>45000</v>
      </c>
      <c r="H29" s="16">
        <v>46906</v>
      </c>
      <c r="I29" s="16">
        <v>30645</v>
      </c>
      <c r="J29" s="16">
        <v>37489</v>
      </c>
      <c r="K29" s="16">
        <v>56125</v>
      </c>
      <c r="L29" s="16">
        <v>45120</v>
      </c>
      <c r="M29" s="16">
        <v>32986</v>
      </c>
      <c r="N29" s="16">
        <v>65942</v>
      </c>
      <c r="O29" s="16">
        <f t="shared" ref="O29:Q29" si="8">(N22+O22)/2*0.24</f>
        <v>77944.319999999992</v>
      </c>
      <c r="P29" s="16">
        <f t="shared" si="8"/>
        <v>67426.8</v>
      </c>
      <c r="Q29" s="16">
        <f t="shared" si="8"/>
        <v>43415.28</v>
      </c>
      <c r="R29" s="16">
        <f>F29*1.1</f>
        <v>35011.152000000002</v>
      </c>
      <c r="S29" s="16">
        <f t="shared" ref="S29:AB29" si="9">G29*1.1</f>
        <v>49500.000000000007</v>
      </c>
      <c r="T29" s="16">
        <f t="shared" si="9"/>
        <v>51596.600000000006</v>
      </c>
      <c r="U29" s="16">
        <f t="shared" si="9"/>
        <v>33709.5</v>
      </c>
      <c r="V29" s="16">
        <f t="shared" si="9"/>
        <v>41237.9</v>
      </c>
      <c r="W29" s="16">
        <f t="shared" si="9"/>
        <v>61737.500000000007</v>
      </c>
      <c r="X29" s="16">
        <f t="shared" si="9"/>
        <v>49632.000000000007</v>
      </c>
      <c r="Y29" s="16">
        <f t="shared" si="9"/>
        <v>36284.600000000006</v>
      </c>
      <c r="Z29" s="16">
        <f t="shared" si="9"/>
        <v>72536.200000000012</v>
      </c>
      <c r="AA29" s="16">
        <f t="shared" si="9"/>
        <v>85738.751999999993</v>
      </c>
      <c r="AB29" s="16">
        <f t="shared" si="9"/>
        <v>74169.48000000001</v>
      </c>
      <c r="AC29" s="17">
        <f>AB27+AB28</f>
        <v>12286.264848765601</v>
      </c>
      <c r="AD29" s="10">
        <f t="shared" si="7"/>
        <v>1184267.6688487658</v>
      </c>
    </row>
    <row r="30" spans="3:30" x14ac:dyDescent="0.25">
      <c r="C30" s="36" t="s">
        <v>76</v>
      </c>
      <c r="D30" s="16"/>
      <c r="E30" s="16"/>
      <c r="F30" s="16">
        <v>0</v>
      </c>
      <c r="G30" s="16">
        <f>F27+F28</f>
        <v>5272.4000385504005</v>
      </c>
      <c r="H30" s="16">
        <f t="shared" ref="H30:AC30" si="10">G27+G28</f>
        <v>7454.304900000001</v>
      </c>
      <c r="I30" s="16">
        <f t="shared" si="10"/>
        <v>7770.0361253199999</v>
      </c>
      <c r="J30" s="16">
        <f t="shared" si="10"/>
        <v>5076.3816368999996</v>
      </c>
      <c r="K30" s="16">
        <f t="shared" si="10"/>
        <v>6210.0985865799994</v>
      </c>
      <c r="L30" s="16">
        <f t="shared" si="10"/>
        <v>9297.1747224999999</v>
      </c>
      <c r="M30" s="16">
        <f t="shared" si="10"/>
        <v>7474.1830464000004</v>
      </c>
      <c r="N30" s="16">
        <f t="shared" si="10"/>
        <v>5464.1711429199995</v>
      </c>
      <c r="O30" s="16">
        <f t="shared" si="10"/>
        <v>10923.372749240001</v>
      </c>
      <c r="P30" s="16">
        <f t="shared" si="10"/>
        <v>12911.571700070399</v>
      </c>
      <c r="Q30" s="16">
        <f t="shared" si="10"/>
        <v>11169.331680695999</v>
      </c>
      <c r="R30" s="16">
        <f t="shared" si="10"/>
        <v>7191.7940986415997</v>
      </c>
      <c r="S30" s="16">
        <f t="shared" si="10"/>
        <v>5799.64004240544</v>
      </c>
      <c r="T30" s="16">
        <f t="shared" si="10"/>
        <v>8199.7353900000016</v>
      </c>
      <c r="U30" s="16">
        <f t="shared" si="10"/>
        <v>8547.0397378520011</v>
      </c>
      <c r="V30" s="16">
        <f t="shared" si="10"/>
        <v>5584.0198005900002</v>
      </c>
      <c r="W30" s="16">
        <f t="shared" si="10"/>
        <v>6831.1084452380001</v>
      </c>
      <c r="X30" s="16">
        <f t="shared" si="10"/>
        <v>10226.892194750002</v>
      </c>
      <c r="Y30" s="16">
        <f t="shared" si="10"/>
        <v>8221.6013510400007</v>
      </c>
      <c r="Z30" s="16">
        <f t="shared" si="10"/>
        <v>6010.5882572120017</v>
      </c>
      <c r="AA30" s="16">
        <f t="shared" si="10"/>
        <v>12015.710024164002</v>
      </c>
      <c r="AB30" s="16">
        <f t="shared" si="10"/>
        <v>14202.728870077439</v>
      </c>
      <c r="AC30" s="17">
        <f t="shared" si="10"/>
        <v>12286.264848765601</v>
      </c>
      <c r="AD30" s="10">
        <f t="shared" si="7"/>
        <v>194140.14938991287</v>
      </c>
    </row>
    <row r="31" spans="3:30" x14ac:dyDescent="0.25">
      <c r="C31" s="47" t="s">
        <v>40</v>
      </c>
      <c r="D31" s="18"/>
      <c r="E31" s="18"/>
      <c r="F31" s="18">
        <f>F29-F30</f>
        <v>31828.32</v>
      </c>
      <c r="G31" s="18">
        <f t="shared" ref="G31:AC31" si="11">G29-G30</f>
        <v>39727.599961449596</v>
      </c>
      <c r="H31" s="18">
        <f t="shared" si="11"/>
        <v>39451.695099999997</v>
      </c>
      <c r="I31" s="18">
        <f t="shared" si="11"/>
        <v>22874.963874680001</v>
      </c>
      <c r="J31" s="18">
        <f t="shared" si="11"/>
        <v>32412.618363100002</v>
      </c>
      <c r="K31" s="18">
        <f t="shared" si="11"/>
        <v>49914.901413419997</v>
      </c>
      <c r="L31" s="18">
        <f t="shared" si="11"/>
        <v>35822.8252775</v>
      </c>
      <c r="M31" s="18">
        <f t="shared" si="11"/>
        <v>25511.816953599999</v>
      </c>
      <c r="N31" s="18">
        <f t="shared" si="11"/>
        <v>60477.82885708</v>
      </c>
      <c r="O31" s="18">
        <f t="shared" si="11"/>
        <v>67020.947250759986</v>
      </c>
      <c r="P31" s="18">
        <f t="shared" si="11"/>
        <v>54515.2282999296</v>
      </c>
      <c r="Q31" s="18">
        <f t="shared" si="11"/>
        <v>32245.948319304</v>
      </c>
      <c r="R31" s="18">
        <f t="shared" si="11"/>
        <v>27819.357901358402</v>
      </c>
      <c r="S31" s="18">
        <f t="shared" si="11"/>
        <v>43700.35995759457</v>
      </c>
      <c r="T31" s="18">
        <f t="shared" si="11"/>
        <v>43396.864610000004</v>
      </c>
      <c r="U31" s="18">
        <f t="shared" si="11"/>
        <v>25162.460262148001</v>
      </c>
      <c r="V31" s="18">
        <f t="shared" si="11"/>
        <v>35653.880199409999</v>
      </c>
      <c r="W31" s="18">
        <f t="shared" si="11"/>
        <v>54906.391554762005</v>
      </c>
      <c r="X31" s="18">
        <f t="shared" si="11"/>
        <v>39405.107805250009</v>
      </c>
      <c r="Y31" s="18">
        <f t="shared" si="11"/>
        <v>28062.998648960005</v>
      </c>
      <c r="Z31" s="18">
        <f t="shared" si="11"/>
        <v>66525.611742788009</v>
      </c>
      <c r="AA31" s="18">
        <f t="shared" si="11"/>
        <v>73723.041975835993</v>
      </c>
      <c r="AB31" s="18">
        <f t="shared" si="11"/>
        <v>59966.751129922573</v>
      </c>
      <c r="AC31" s="19">
        <f t="shared" si="11"/>
        <v>0</v>
      </c>
      <c r="AD31" s="10">
        <f t="shared" si="7"/>
        <v>990127.51945885282</v>
      </c>
    </row>
    <row r="33" spans="3:30" ht="27.6" x14ac:dyDescent="0.25">
      <c r="C33" s="34" t="s">
        <v>19</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3:30" x14ac:dyDescent="0.25">
      <c r="C34" s="35" t="s">
        <v>20</v>
      </c>
      <c r="D34" s="14"/>
      <c r="E34" s="14"/>
      <c r="F34" s="14">
        <f>E39</f>
        <v>85649</v>
      </c>
      <c r="G34" s="14">
        <f t="shared" ref="G34:AB34" si="12">F39</f>
        <v>-137309.71039855073</v>
      </c>
      <c r="H34" s="14">
        <f t="shared" si="12"/>
        <v>-763829.2124637682</v>
      </c>
      <c r="I34" s="14">
        <f t="shared" si="12"/>
        <v>-777403.80619565235</v>
      </c>
      <c r="J34" s="14">
        <f t="shared" si="12"/>
        <v>-1773822.2749275365</v>
      </c>
      <c r="K34" s="14">
        <f t="shared" si="12"/>
        <v>-2155097.012826087</v>
      </c>
      <c r="L34" s="14">
        <f t="shared" si="12"/>
        <v>-2120180.6773913042</v>
      </c>
      <c r="M34" s="14">
        <f t="shared" si="12"/>
        <v>-2068386.1036231881</v>
      </c>
      <c r="N34" s="14">
        <f t="shared" si="12"/>
        <v>-1897970.3181884056</v>
      </c>
      <c r="O34" s="14">
        <f t="shared" si="12"/>
        <v>-1890109.6977536229</v>
      </c>
      <c r="P34" s="14">
        <f t="shared" si="12"/>
        <v>-1860100.8406521739</v>
      </c>
      <c r="Q34" s="14">
        <f t="shared" si="12"/>
        <v>-1727661.7485507245</v>
      </c>
      <c r="R34" s="14">
        <f t="shared" si="12"/>
        <v>-1478370.5347826085</v>
      </c>
      <c r="S34" s="14">
        <f t="shared" si="12"/>
        <v>-1193684.6801811592</v>
      </c>
      <c r="T34" s="14">
        <f t="shared" si="12"/>
        <v>-906534.68391304323</v>
      </c>
      <c r="U34" s="14">
        <f t="shared" si="12"/>
        <v>-647210.34597826051</v>
      </c>
      <c r="V34" s="14">
        <f t="shared" si="12"/>
        <v>-477725.13304347789</v>
      </c>
      <c r="W34" s="14">
        <f t="shared" si="12"/>
        <v>-353459.65094202862</v>
      </c>
      <c r="X34" s="14">
        <f t="shared" si="12"/>
        <v>-247917.59217391268</v>
      </c>
      <c r="Y34" s="14">
        <f t="shared" si="12"/>
        <v>-159345.92173913005</v>
      </c>
      <c r="Z34" s="14">
        <f t="shared" si="12"/>
        <v>-83844.76297101409</v>
      </c>
      <c r="AA34" s="14">
        <f t="shared" si="12"/>
        <v>-33998.639202898135</v>
      </c>
      <c r="AB34" s="14">
        <f t="shared" si="12"/>
        <v>-8531.3521014488542</v>
      </c>
      <c r="AC34" s="15"/>
    </row>
    <row r="35" spans="3:30" x14ac:dyDescent="0.25">
      <c r="C35" s="30" t="s">
        <v>21</v>
      </c>
      <c r="D35" s="16"/>
      <c r="E35" s="16">
        <f t="shared" ref="E35:R35" si="13">-E22</f>
        <v>0</v>
      </c>
      <c r="F35" s="16">
        <f t="shared" si="13"/>
        <v>-265236</v>
      </c>
      <c r="G35" s="16">
        <f t="shared" si="13"/>
        <v>-741569</v>
      </c>
      <c r="H35" s="16">
        <f t="shared" si="13"/>
        <v>-125654</v>
      </c>
      <c r="I35" s="16">
        <f t="shared" si="13"/>
        <v>-1254794</v>
      </c>
      <c r="J35" s="16">
        <f t="shared" si="13"/>
        <v>-654874</v>
      </c>
      <c r="K35" s="16">
        <f t="shared" si="13"/>
        <v>-236487</v>
      </c>
      <c r="L35" s="16">
        <f t="shared" si="13"/>
        <v>-236584</v>
      </c>
      <c r="M35" s="16">
        <f t="shared" si="13"/>
        <v>-125478</v>
      </c>
      <c r="N35" s="16">
        <f t="shared" si="13"/>
        <v>-323594</v>
      </c>
      <c r="O35" s="16">
        <f t="shared" si="13"/>
        <v>-325942</v>
      </c>
      <c r="P35" s="16">
        <f t="shared" si="13"/>
        <v>-235948</v>
      </c>
      <c r="Q35" s="16">
        <f t="shared" si="13"/>
        <v>-125846</v>
      </c>
      <c r="R35" s="16">
        <f t="shared" si="13"/>
        <v>-54126</v>
      </c>
      <c r="S35" s="16"/>
      <c r="T35" s="16"/>
      <c r="U35" s="16"/>
      <c r="V35" s="16"/>
      <c r="W35" s="16"/>
      <c r="X35" s="16"/>
      <c r="Y35" s="16"/>
      <c r="Z35" s="16"/>
      <c r="AA35" s="16"/>
      <c r="AB35" s="16"/>
      <c r="AC35" s="17"/>
      <c r="AD35" s="10">
        <f t="shared" ref="AD35:AD38" si="14">SUM(F35:AC35)</f>
        <v>-4706132</v>
      </c>
    </row>
    <row r="36" spans="3:30" ht="27.6" x14ac:dyDescent="0.25">
      <c r="C36" s="39" t="s">
        <v>26</v>
      </c>
      <c r="D36" s="16"/>
      <c r="E36" s="16">
        <f>E24+E23</f>
        <v>85649</v>
      </c>
      <c r="F36" s="16">
        <f t="shared" ref="F36:R36" si="15">F24+F23</f>
        <v>13261.800000000001</v>
      </c>
      <c r="G36" s="16">
        <f t="shared" si="15"/>
        <v>37078.450000000004</v>
      </c>
      <c r="H36" s="16">
        <f t="shared" si="15"/>
        <v>6282.7000000000007</v>
      </c>
      <c r="I36" s="16">
        <f t="shared" si="15"/>
        <v>62739.700000000004</v>
      </c>
      <c r="J36" s="16">
        <f t="shared" si="15"/>
        <v>32743.7</v>
      </c>
      <c r="K36" s="16">
        <f t="shared" si="15"/>
        <v>11824.35</v>
      </c>
      <c r="L36" s="16">
        <f t="shared" si="15"/>
        <v>11829.2</v>
      </c>
      <c r="M36" s="16">
        <f t="shared" si="15"/>
        <v>6273.9000000000005</v>
      </c>
      <c r="N36" s="16">
        <f t="shared" si="15"/>
        <v>16179.7</v>
      </c>
      <c r="O36" s="16">
        <f t="shared" si="15"/>
        <v>16297.1</v>
      </c>
      <c r="P36" s="16">
        <f t="shared" si="15"/>
        <v>11797.400000000001</v>
      </c>
      <c r="Q36" s="16">
        <f t="shared" si="15"/>
        <v>6292.3</v>
      </c>
      <c r="R36" s="16">
        <f t="shared" si="15"/>
        <v>2706.3</v>
      </c>
      <c r="S36" s="16"/>
      <c r="T36" s="16"/>
      <c r="U36" s="16"/>
      <c r="V36" s="16"/>
      <c r="W36" s="16"/>
      <c r="X36" s="16"/>
      <c r="Y36" s="16"/>
      <c r="Z36" s="16"/>
      <c r="AA36" s="16"/>
      <c r="AB36" s="16"/>
      <c r="AC36" s="17"/>
      <c r="AD36" s="10">
        <f>SUM(E36:AC36)</f>
        <v>320955.60000000003</v>
      </c>
    </row>
    <row r="37" spans="3:30" x14ac:dyDescent="0.25">
      <c r="C37" s="30" t="s">
        <v>3</v>
      </c>
      <c r="D37" s="16"/>
      <c r="E37" s="16"/>
      <c r="F37" s="16">
        <f>-(SUM($F$19)/12+$E$36/23)</f>
        <v>-5446.9937318840584</v>
      </c>
      <c r="G37" s="16">
        <f>-(SUM($F$19:G19)/12+$E$36/23)</f>
        <v>-8023.602065217392</v>
      </c>
      <c r="H37" s="16">
        <f>-(SUM($F$19:H19)/12+$E$36/23)</f>
        <v>-9488.1103985507252</v>
      </c>
      <c r="I37" s="16">
        <f>-(SUM($F$19:I19)/12+$E$36/23)</f>
        <v>-14216.485398550727</v>
      </c>
      <c r="J37" s="16">
        <f>-(SUM($F$19:J19)/12+$E$36/23)</f>
        <v>-16596.471231884061</v>
      </c>
      <c r="K37" s="16">
        <f>-(SUM($F$19:K19)/12+$E$36/23)</f>
        <v>-17581.914565217394</v>
      </c>
      <c r="L37" s="16">
        <f>-(SUM($F$19:L19)/12+$E$36/23)</f>
        <v>-18475.092898550727</v>
      </c>
      <c r="M37" s="16">
        <f>-(SUM($F$19:M19)/12+$E$36/23)</f>
        <v>-19163.014565217396</v>
      </c>
      <c r="N37" s="16">
        <f>-(SUM($F$19:N19)/12+$E$36/23)</f>
        <v>-20513.279565217395</v>
      </c>
      <c r="O37" s="16">
        <f>-(SUM($F$19:O19)/12+$E$36/23)</f>
        <v>-21796.376231884064</v>
      </c>
      <c r="P37" s="16">
        <f>-(SUM($F$19:P19)/12+$E$36/23)</f>
        <v>-22687.741231884062</v>
      </c>
      <c r="Q37" s="16">
        <f>-(SUM($F$19:Q19)/12+$E$36/23)</f>
        <v>-23332.752898550727</v>
      </c>
      <c r="R37" s="16">
        <f>-(SUM(G19:R19)/12+$E$36/23)</f>
        <v>-21609.628731884062</v>
      </c>
      <c r="S37" s="16">
        <f t="shared" ref="S37:AB37" si="16">-(SUM(H19:S19)/12+$E$36/23)</f>
        <v>-19033.020398550725</v>
      </c>
      <c r="T37" s="16">
        <f t="shared" si="16"/>
        <v>-17568.512065217394</v>
      </c>
      <c r="U37" s="16">
        <f t="shared" si="16"/>
        <v>-12840.137065217394</v>
      </c>
      <c r="V37" s="16">
        <f t="shared" si="16"/>
        <v>-10460.151231884058</v>
      </c>
      <c r="W37" s="16">
        <f t="shared" si="16"/>
        <v>-9474.7078985507251</v>
      </c>
      <c r="X37" s="16">
        <f t="shared" si="16"/>
        <v>-8581.5295652173918</v>
      </c>
      <c r="Y37" s="16">
        <f t="shared" si="16"/>
        <v>-7893.6078985507247</v>
      </c>
      <c r="Z37" s="16">
        <f t="shared" si="16"/>
        <v>-6543.3428985507253</v>
      </c>
      <c r="AA37" s="16">
        <f t="shared" si="16"/>
        <v>-5260.2462318840589</v>
      </c>
      <c r="AB37" s="16">
        <f t="shared" si="16"/>
        <v>-4368.8812318840583</v>
      </c>
      <c r="AC37" s="17"/>
      <c r="AD37" s="10">
        <f t="shared" si="14"/>
        <v>-320955.60000000009</v>
      </c>
    </row>
    <row r="38" spans="3:30" x14ac:dyDescent="0.25">
      <c r="C38" s="30" t="s">
        <v>22</v>
      </c>
      <c r="D38" s="16"/>
      <c r="E38" s="16"/>
      <c r="F38" s="16">
        <f>SUM($F$7:F18)/12</f>
        <v>34462.483333333337</v>
      </c>
      <c r="G38" s="16">
        <f>SUM($F$7:G18)/12</f>
        <v>85994.650000000009</v>
      </c>
      <c r="H38" s="16">
        <f>SUM($F$7:H18)/12</f>
        <v>115284.81666666669</v>
      </c>
      <c r="I38" s="16">
        <f>SUM($F$7:I18)/12</f>
        <v>209852.31666666668</v>
      </c>
      <c r="J38" s="16">
        <f>SUM($F$7:J18)/12</f>
        <v>257452.03333333335</v>
      </c>
      <c r="K38" s="16">
        <f>SUM($F$7:K18)/12</f>
        <v>277160.90000000002</v>
      </c>
      <c r="L38" s="16">
        <f>SUM($F$7:L18)/12</f>
        <v>295024.46666666667</v>
      </c>
      <c r="M38" s="16">
        <f>SUM($F$7:M18)/12</f>
        <v>308782.90000000002</v>
      </c>
      <c r="N38" s="16">
        <f>SUM($F$7:N18)/12</f>
        <v>335788.2</v>
      </c>
      <c r="O38" s="16">
        <f>SUM($F$7:O18)/12</f>
        <v>361450.13333333336</v>
      </c>
      <c r="P38" s="16">
        <f>SUM($F$7:P18)/12</f>
        <v>379277.43333333335</v>
      </c>
      <c r="Q38" s="16">
        <f>SUM($F$7:Q18)/12</f>
        <v>392177.66666666669</v>
      </c>
      <c r="R38" s="16">
        <f t="shared" ref="R38:AB38" si="17">SUM(G7:R18)/12</f>
        <v>357715.18333333335</v>
      </c>
      <c r="S38" s="16">
        <f t="shared" si="17"/>
        <v>306183.01666666666</v>
      </c>
      <c r="T38" s="16">
        <f t="shared" si="17"/>
        <v>276892.85000000003</v>
      </c>
      <c r="U38" s="16">
        <f t="shared" si="17"/>
        <v>182325.35</v>
      </c>
      <c r="V38" s="16">
        <f t="shared" si="17"/>
        <v>134725.63333333336</v>
      </c>
      <c r="W38" s="16">
        <f t="shared" si="17"/>
        <v>115016.76666666668</v>
      </c>
      <c r="X38" s="16">
        <f t="shared" si="17"/>
        <v>97153.200000000012</v>
      </c>
      <c r="Y38" s="16">
        <f t="shared" si="17"/>
        <v>83394.766666666677</v>
      </c>
      <c r="Z38" s="16">
        <f t="shared" si="17"/>
        <v>56389.466666666674</v>
      </c>
      <c r="AA38" s="16">
        <f t="shared" si="17"/>
        <v>30727.533333333336</v>
      </c>
      <c r="AB38" s="16">
        <f t="shared" si="17"/>
        <v>12900.233333333332</v>
      </c>
      <c r="AC38" s="17"/>
      <c r="AD38" s="10">
        <f t="shared" si="14"/>
        <v>4706132.0000000009</v>
      </c>
    </row>
    <row r="39" spans="3:30" x14ac:dyDescent="0.25">
      <c r="C39" s="38" t="s">
        <v>23</v>
      </c>
      <c r="D39" s="18"/>
      <c r="E39" s="18">
        <f>SUM(E34:E38)</f>
        <v>85649</v>
      </c>
      <c r="F39" s="18">
        <f>SUM(F34:F38)</f>
        <v>-137309.71039855073</v>
      </c>
      <c r="G39" s="18">
        <f t="shared" ref="G39:AA39" si="18">SUM(G34:G38)</f>
        <v>-763829.2124637682</v>
      </c>
      <c r="H39" s="18">
        <f t="shared" si="18"/>
        <v>-777403.80619565235</v>
      </c>
      <c r="I39" s="18">
        <f t="shared" si="18"/>
        <v>-1773822.2749275365</v>
      </c>
      <c r="J39" s="18">
        <f t="shared" si="18"/>
        <v>-2155097.012826087</v>
      </c>
      <c r="K39" s="18">
        <f t="shared" si="18"/>
        <v>-2120180.6773913042</v>
      </c>
      <c r="L39" s="18">
        <f t="shared" si="18"/>
        <v>-2068386.1036231881</v>
      </c>
      <c r="M39" s="18">
        <f t="shared" si="18"/>
        <v>-1897970.3181884056</v>
      </c>
      <c r="N39" s="18">
        <f t="shared" si="18"/>
        <v>-1890109.6977536229</v>
      </c>
      <c r="O39" s="18">
        <f t="shared" si="18"/>
        <v>-1860100.8406521739</v>
      </c>
      <c r="P39" s="18">
        <f t="shared" si="18"/>
        <v>-1727661.7485507245</v>
      </c>
      <c r="Q39" s="18">
        <f t="shared" si="18"/>
        <v>-1478370.5347826085</v>
      </c>
      <c r="R39" s="18">
        <f t="shared" si="18"/>
        <v>-1193684.6801811592</v>
      </c>
      <c r="S39" s="18">
        <f t="shared" si="18"/>
        <v>-906534.68391304323</v>
      </c>
      <c r="T39" s="18">
        <f t="shared" si="18"/>
        <v>-647210.34597826051</v>
      </c>
      <c r="U39" s="18">
        <f t="shared" si="18"/>
        <v>-477725.13304347789</v>
      </c>
      <c r="V39" s="18">
        <f t="shared" si="18"/>
        <v>-353459.65094202862</v>
      </c>
      <c r="W39" s="18">
        <f t="shared" si="18"/>
        <v>-247917.59217391268</v>
      </c>
      <c r="X39" s="18">
        <f t="shared" si="18"/>
        <v>-159345.92173913005</v>
      </c>
      <c r="Y39" s="18">
        <f t="shared" si="18"/>
        <v>-83844.76297101409</v>
      </c>
      <c r="Z39" s="18">
        <f t="shared" si="18"/>
        <v>-33998.639202898135</v>
      </c>
      <c r="AA39" s="18">
        <f t="shared" si="18"/>
        <v>-8531.3521014488542</v>
      </c>
      <c r="AB39" s="18">
        <f>SUM(AB34:AB38)</f>
        <v>4.2018655221909285E-10</v>
      </c>
      <c r="AC39" s="19"/>
    </row>
    <row r="41" spans="3:30" x14ac:dyDescent="0.25">
      <c r="C41" s="13" t="s">
        <v>24</v>
      </c>
    </row>
    <row r="42" spans="3:30" x14ac:dyDescent="0.25">
      <c r="C42" s="35" t="s">
        <v>20</v>
      </c>
      <c r="D42" s="14"/>
      <c r="E42" s="14"/>
      <c r="F42" s="14">
        <f t="shared" ref="F42:AC42" si="19">E51</f>
        <v>0</v>
      </c>
      <c r="G42" s="14">
        <f t="shared" si="19"/>
        <v>-5272.4000385504005</v>
      </c>
      <c r="H42" s="14">
        <f t="shared" si="19"/>
        <v>-7454.3049000000028</v>
      </c>
      <c r="I42" s="14">
        <f t="shared" si="19"/>
        <v>-7770.0361253200026</v>
      </c>
      <c r="J42" s="14">
        <f t="shared" si="19"/>
        <v>-5076.3816368999978</v>
      </c>
      <c r="K42" s="14">
        <f t="shared" si="19"/>
        <v>-6210.0985865799885</v>
      </c>
      <c r="L42" s="14">
        <f t="shared" si="19"/>
        <v>-9297.1747224999854</v>
      </c>
      <c r="M42" s="14">
        <f t="shared" si="19"/>
        <v>-7474.1830463999868</v>
      </c>
      <c r="N42" s="14">
        <f t="shared" si="19"/>
        <v>-5464.1711429199859</v>
      </c>
      <c r="O42" s="14">
        <f t="shared" si="19"/>
        <v>-10923.372749239992</v>
      </c>
      <c r="P42" s="14">
        <f t="shared" si="19"/>
        <v>-12911.571700070403</v>
      </c>
      <c r="Q42" s="14">
        <f t="shared" si="19"/>
        <v>-11169.331680696007</v>
      </c>
      <c r="R42" s="14">
        <f t="shared" si="19"/>
        <v>-7191.794098641607</v>
      </c>
      <c r="S42" s="14">
        <f t="shared" si="19"/>
        <v>-5799.6400424054445</v>
      </c>
      <c r="T42" s="14">
        <f t="shared" si="19"/>
        <v>-8199.7353900000089</v>
      </c>
      <c r="U42" s="14">
        <f t="shared" si="19"/>
        <v>-8547.039737851992</v>
      </c>
      <c r="V42" s="14">
        <f t="shared" si="19"/>
        <v>-5584.0198005899874</v>
      </c>
      <c r="W42" s="14">
        <f t="shared" si="19"/>
        <v>-6831.10844523798</v>
      </c>
      <c r="X42" s="14">
        <f t="shared" si="19"/>
        <v>-10226.892194749984</v>
      </c>
      <c r="Y42" s="14">
        <f t="shared" si="19"/>
        <v>-8221.6013510399789</v>
      </c>
      <c r="Z42" s="14">
        <f t="shared" si="19"/>
        <v>-6010.5882572119808</v>
      </c>
      <c r="AA42" s="14">
        <f t="shared" si="19"/>
        <v>-12015.710024163986</v>
      </c>
      <c r="AB42" s="14">
        <f t="shared" si="19"/>
        <v>-14202.728870077422</v>
      </c>
      <c r="AC42" s="15">
        <f t="shared" si="19"/>
        <v>-12286.264848765582</v>
      </c>
    </row>
    <row r="43" spans="3:30" ht="27.6" x14ac:dyDescent="0.25">
      <c r="C43" s="36" t="s">
        <v>28</v>
      </c>
      <c r="D43" s="16"/>
      <c r="E43" s="16"/>
      <c r="F43" s="16">
        <f>-F27</f>
        <v>-4665.8407420800004</v>
      </c>
      <c r="G43" s="16">
        <f t="shared" ref="G43:AC43" si="20">F27-G27</f>
        <v>-1930.8892579200001</v>
      </c>
      <c r="H43" s="16">
        <f t="shared" si="20"/>
        <v>-279.40816399999949</v>
      </c>
      <c r="I43" s="16">
        <f t="shared" si="20"/>
        <v>2383.765034</v>
      </c>
      <c r="J43" s="16">
        <f t="shared" si="20"/>
        <v>-1003.2893359999998</v>
      </c>
      <c r="K43" s="16">
        <f t="shared" si="20"/>
        <v>-2731.9257840000009</v>
      </c>
      <c r="L43" s="16">
        <f t="shared" si="20"/>
        <v>1613.2669700000006</v>
      </c>
      <c r="M43" s="16">
        <f t="shared" si="20"/>
        <v>1778.7715960000005</v>
      </c>
      <c r="N43" s="16">
        <f t="shared" si="20"/>
        <v>-4831.1518640000013</v>
      </c>
      <c r="O43" s="16">
        <f t="shared" si="20"/>
        <v>-1759.4680980799985</v>
      </c>
      <c r="P43" s="16">
        <f t="shared" si="20"/>
        <v>1541.8053268799995</v>
      </c>
      <c r="Q43" s="16">
        <f t="shared" si="20"/>
        <v>3519.9447628799999</v>
      </c>
      <c r="R43" s="16">
        <f t="shared" si="20"/>
        <v>1231.9947400319998</v>
      </c>
      <c r="S43" s="16">
        <f t="shared" si="20"/>
        <v>-2123.9781837120008</v>
      </c>
      <c r="T43" s="16">
        <f t="shared" si="20"/>
        <v>-307.34898040000007</v>
      </c>
      <c r="U43" s="16">
        <f t="shared" si="20"/>
        <v>2622.1415374000007</v>
      </c>
      <c r="V43" s="16">
        <f t="shared" si="20"/>
        <v>-1103.6182695999996</v>
      </c>
      <c r="W43" s="16">
        <f t="shared" si="20"/>
        <v>-3005.1183624000014</v>
      </c>
      <c r="X43" s="16">
        <f t="shared" si="20"/>
        <v>1774.5936670000001</v>
      </c>
      <c r="Y43" s="16">
        <f t="shared" si="20"/>
        <v>1956.6487556000002</v>
      </c>
      <c r="Z43" s="16">
        <f t="shared" si="20"/>
        <v>-5314.2670503999998</v>
      </c>
      <c r="AA43" s="16">
        <f t="shared" si="20"/>
        <v>-1935.4149078879982</v>
      </c>
      <c r="AB43" s="16">
        <f t="shared" si="20"/>
        <v>1695.985859567998</v>
      </c>
      <c r="AC43" s="17">
        <f t="shared" si="20"/>
        <v>10872.800751120001</v>
      </c>
      <c r="AD43" s="10">
        <f>SUM(F43:AC43)</f>
        <v>0</v>
      </c>
    </row>
    <row r="44" spans="3:30" x14ac:dyDescent="0.25">
      <c r="C44" s="36" t="s">
        <v>29</v>
      </c>
      <c r="D44" s="16"/>
      <c r="E44" s="16"/>
      <c r="F44" s="16">
        <f>-F28</f>
        <v>-606.55929647040011</v>
      </c>
      <c r="G44" s="16">
        <f t="shared" ref="G44:AC44" si="21">F28-G28</f>
        <v>-251.01560352959996</v>
      </c>
      <c r="H44" s="16">
        <f t="shared" si="21"/>
        <v>-36.323061319999965</v>
      </c>
      <c r="I44" s="16">
        <f t="shared" si="21"/>
        <v>309.88945441999999</v>
      </c>
      <c r="J44" s="16">
        <f t="shared" si="21"/>
        <v>-130.42761367999992</v>
      </c>
      <c r="K44" s="16">
        <f t="shared" si="21"/>
        <v>-355.15035192000016</v>
      </c>
      <c r="L44" s="16">
        <f t="shared" si="21"/>
        <v>209.72470610000005</v>
      </c>
      <c r="M44" s="16">
        <f t="shared" si="21"/>
        <v>231.24030748000007</v>
      </c>
      <c r="N44" s="16">
        <f t="shared" si="21"/>
        <v>-628.04974232000006</v>
      </c>
      <c r="O44" s="16">
        <f t="shared" si="21"/>
        <v>-228.73085275039989</v>
      </c>
      <c r="P44" s="16">
        <f t="shared" si="21"/>
        <v>200.4346924944</v>
      </c>
      <c r="Q44" s="16">
        <f t="shared" si="21"/>
        <v>457.59281917439989</v>
      </c>
      <c r="R44" s="16">
        <f t="shared" si="21"/>
        <v>160.15931620416006</v>
      </c>
      <c r="S44" s="16">
        <f t="shared" si="21"/>
        <v>-276.11716388256013</v>
      </c>
      <c r="T44" s="16">
        <f t="shared" si="21"/>
        <v>-39.955367452000019</v>
      </c>
      <c r="U44" s="16">
        <f t="shared" si="21"/>
        <v>340.87839986200004</v>
      </c>
      <c r="V44" s="16">
        <f t="shared" si="21"/>
        <v>-143.47037504799994</v>
      </c>
      <c r="W44" s="16">
        <f t="shared" si="21"/>
        <v>-390.66538711200008</v>
      </c>
      <c r="X44" s="16">
        <f t="shared" si="21"/>
        <v>230.69717670999989</v>
      </c>
      <c r="Y44" s="16">
        <f t="shared" si="21"/>
        <v>254.36433822800007</v>
      </c>
      <c r="Z44" s="16">
        <f t="shared" si="21"/>
        <v>-690.85471655200001</v>
      </c>
      <c r="AA44" s="16">
        <f t="shared" si="21"/>
        <v>-251.60393802543967</v>
      </c>
      <c r="AB44" s="16">
        <f t="shared" si="21"/>
        <v>220.47816174383956</v>
      </c>
      <c r="AC44" s="17">
        <f t="shared" si="21"/>
        <v>1413.4640976456003</v>
      </c>
      <c r="AD44" s="10">
        <f t="shared" ref="AD44:AD50" si="22">SUM(F44:AC44)</f>
        <v>0</v>
      </c>
    </row>
    <row r="45" spans="3:30" x14ac:dyDescent="0.25">
      <c r="C45" s="31" t="s">
        <v>15</v>
      </c>
      <c r="D45" s="16"/>
      <c r="E45" s="16"/>
      <c r="F45" s="16">
        <f>-F29</f>
        <v>-31828.32</v>
      </c>
      <c r="G45" s="16">
        <f t="shared" ref="G45:AC45" si="23">-G29</f>
        <v>-45000</v>
      </c>
      <c r="H45" s="16">
        <f t="shared" si="23"/>
        <v>-46906</v>
      </c>
      <c r="I45" s="16">
        <f t="shared" si="23"/>
        <v>-30645</v>
      </c>
      <c r="J45" s="16">
        <f t="shared" si="23"/>
        <v>-37489</v>
      </c>
      <c r="K45" s="16">
        <f t="shared" si="23"/>
        <v>-56125</v>
      </c>
      <c r="L45" s="16">
        <f t="shared" si="23"/>
        <v>-45120</v>
      </c>
      <c r="M45" s="16">
        <f t="shared" si="23"/>
        <v>-32986</v>
      </c>
      <c r="N45" s="16">
        <f t="shared" si="23"/>
        <v>-65942</v>
      </c>
      <c r="O45" s="16">
        <f t="shared" si="23"/>
        <v>-77944.319999999992</v>
      </c>
      <c r="P45" s="16">
        <f t="shared" si="23"/>
        <v>-67426.8</v>
      </c>
      <c r="Q45" s="16">
        <f t="shared" si="23"/>
        <v>-43415.28</v>
      </c>
      <c r="R45" s="16">
        <f t="shared" si="23"/>
        <v>-35011.152000000002</v>
      </c>
      <c r="S45" s="16">
        <f t="shared" si="23"/>
        <v>-49500.000000000007</v>
      </c>
      <c r="T45" s="16">
        <f t="shared" si="23"/>
        <v>-51596.600000000006</v>
      </c>
      <c r="U45" s="16">
        <f t="shared" si="23"/>
        <v>-33709.5</v>
      </c>
      <c r="V45" s="16">
        <f t="shared" si="23"/>
        <v>-41237.9</v>
      </c>
      <c r="W45" s="16">
        <f t="shared" si="23"/>
        <v>-61737.500000000007</v>
      </c>
      <c r="X45" s="16">
        <f t="shared" si="23"/>
        <v>-49632.000000000007</v>
      </c>
      <c r="Y45" s="16">
        <f t="shared" si="23"/>
        <v>-36284.600000000006</v>
      </c>
      <c r="Z45" s="16">
        <f t="shared" si="23"/>
        <v>-72536.200000000012</v>
      </c>
      <c r="AA45" s="16">
        <f t="shared" si="23"/>
        <v>-85738.751999999993</v>
      </c>
      <c r="AB45" s="16">
        <f t="shared" si="23"/>
        <v>-74169.48000000001</v>
      </c>
      <c r="AC45" s="17">
        <f t="shared" si="23"/>
        <v>-12286.264848765601</v>
      </c>
      <c r="AD45" s="10">
        <f t="shared" si="22"/>
        <v>-1184267.6688487658</v>
      </c>
    </row>
    <row r="46" spans="3:30" ht="27.6" x14ac:dyDescent="0.25">
      <c r="C46" s="36" t="s">
        <v>39</v>
      </c>
      <c r="D46" s="16"/>
      <c r="E46" s="16"/>
      <c r="F46" s="16"/>
      <c r="G46" s="16"/>
      <c r="H46" s="16"/>
      <c r="I46" s="16"/>
      <c r="J46" s="16"/>
      <c r="K46" s="16"/>
      <c r="L46" s="16"/>
      <c r="M46" s="16"/>
      <c r="N46" s="16"/>
      <c r="O46" s="16"/>
      <c r="P46" s="16"/>
      <c r="Q46" s="16"/>
      <c r="R46" s="16">
        <f>-R30</f>
        <v>-7191.7940986415997</v>
      </c>
      <c r="S46" s="16"/>
      <c r="T46" s="16"/>
      <c r="U46" s="16"/>
      <c r="V46" s="16"/>
      <c r="W46" s="16"/>
      <c r="X46" s="16"/>
      <c r="Y46" s="16"/>
      <c r="Z46" s="16"/>
      <c r="AA46" s="16"/>
      <c r="AB46" s="16"/>
      <c r="AC46" s="17"/>
      <c r="AD46" s="10">
        <f t="shared" si="22"/>
        <v>-7191.7940986415997</v>
      </c>
    </row>
    <row r="47" spans="3:30" x14ac:dyDescent="0.25">
      <c r="C47" s="36" t="s">
        <v>77</v>
      </c>
      <c r="D47" s="16"/>
      <c r="E47" s="16"/>
      <c r="F47" s="16">
        <f>-F31-F30</f>
        <v>-31828.32</v>
      </c>
      <c r="G47" s="16">
        <f t="shared" ref="G47:AC47" si="24">-G31-G30</f>
        <v>-45000</v>
      </c>
      <c r="H47" s="16">
        <f t="shared" si="24"/>
        <v>-46906</v>
      </c>
      <c r="I47" s="16">
        <f t="shared" si="24"/>
        <v>-30645</v>
      </c>
      <c r="J47" s="16">
        <f t="shared" si="24"/>
        <v>-37489</v>
      </c>
      <c r="K47" s="16">
        <f t="shared" si="24"/>
        <v>-56125</v>
      </c>
      <c r="L47" s="16">
        <f t="shared" si="24"/>
        <v>-45120</v>
      </c>
      <c r="M47" s="16">
        <f t="shared" si="24"/>
        <v>-32986</v>
      </c>
      <c r="N47" s="16">
        <f t="shared" si="24"/>
        <v>-65942</v>
      </c>
      <c r="O47" s="16">
        <f t="shared" si="24"/>
        <v>-77944.319999999992</v>
      </c>
      <c r="P47" s="16">
        <f t="shared" si="24"/>
        <v>-67426.8</v>
      </c>
      <c r="Q47" s="16">
        <f t="shared" si="24"/>
        <v>-43415.28</v>
      </c>
      <c r="R47" s="16">
        <f>-R31</f>
        <v>-27819.357901358402</v>
      </c>
      <c r="S47" s="16">
        <f t="shared" si="24"/>
        <v>-49500.000000000007</v>
      </c>
      <c r="T47" s="16">
        <f t="shared" si="24"/>
        <v>-51596.600000000006</v>
      </c>
      <c r="U47" s="16">
        <f t="shared" si="24"/>
        <v>-33709.5</v>
      </c>
      <c r="V47" s="16">
        <f t="shared" si="24"/>
        <v>-41237.9</v>
      </c>
      <c r="W47" s="16">
        <f t="shared" si="24"/>
        <v>-61737.500000000007</v>
      </c>
      <c r="X47" s="16">
        <f t="shared" si="24"/>
        <v>-49632.000000000015</v>
      </c>
      <c r="Y47" s="16">
        <f t="shared" si="24"/>
        <v>-36284.600000000006</v>
      </c>
      <c r="Z47" s="16">
        <f t="shared" si="24"/>
        <v>-72536.200000000012</v>
      </c>
      <c r="AA47" s="16">
        <f t="shared" si="24"/>
        <v>-85738.751999999993</v>
      </c>
      <c r="AB47" s="16">
        <f t="shared" si="24"/>
        <v>-74169.48000000001</v>
      </c>
      <c r="AC47" s="16">
        <f t="shared" si="24"/>
        <v>-12286.264848765601</v>
      </c>
      <c r="AD47" s="10">
        <f t="shared" si="22"/>
        <v>-1177075.8747501243</v>
      </c>
    </row>
    <row r="48" spans="3:30" x14ac:dyDescent="0.25">
      <c r="C48" s="31" t="s">
        <v>17</v>
      </c>
      <c r="D48" s="16"/>
      <c r="E48" s="16"/>
      <c r="F48" s="16">
        <f t="shared" ref="F48:AC48" si="25">-F25</f>
        <v>-14496.192647999998</v>
      </c>
      <c r="G48" s="16">
        <f t="shared" si="25"/>
        <v>-16443</v>
      </c>
      <c r="H48" s="16">
        <f t="shared" si="25"/>
        <v>-17139.452399999998</v>
      </c>
      <c r="I48" s="16">
        <f t="shared" si="25"/>
        <v>-11197.683000000001</v>
      </c>
      <c r="J48" s="16">
        <f t="shared" si="25"/>
        <v>-13698.480600000001</v>
      </c>
      <c r="K48" s="16">
        <f t="shared" si="25"/>
        <v>-20508.075000000001</v>
      </c>
      <c r="L48" s="16">
        <f t="shared" si="25"/>
        <v>-16486.848000000002</v>
      </c>
      <c r="M48" s="16">
        <f t="shared" si="25"/>
        <v>-12053.0844</v>
      </c>
      <c r="N48" s="16">
        <f t="shared" si="25"/>
        <v>-24095.2068</v>
      </c>
      <c r="O48" s="16">
        <f t="shared" si="25"/>
        <v>-28480.854527999996</v>
      </c>
      <c r="P48" s="16">
        <f t="shared" si="25"/>
        <v>-24637.75272</v>
      </c>
      <c r="Q48" s="16">
        <f t="shared" si="25"/>
        <v>-15863.943311999999</v>
      </c>
      <c r="R48" s="16">
        <f t="shared" si="25"/>
        <v>-15945.811912799998</v>
      </c>
      <c r="S48" s="16">
        <f t="shared" si="25"/>
        <v>-18087.300000000003</v>
      </c>
      <c r="T48" s="16">
        <f t="shared" si="25"/>
        <v>-18853.397640000003</v>
      </c>
      <c r="U48" s="16">
        <f t="shared" si="25"/>
        <v>-12317.451300000001</v>
      </c>
      <c r="V48" s="16">
        <f t="shared" si="25"/>
        <v>-15068.328660000001</v>
      </c>
      <c r="W48" s="16">
        <f t="shared" si="25"/>
        <v>-22558.882500000003</v>
      </c>
      <c r="X48" s="16">
        <f t="shared" si="25"/>
        <v>-18135.532800000004</v>
      </c>
      <c r="Y48" s="16">
        <f t="shared" si="25"/>
        <v>-13258.392840000002</v>
      </c>
      <c r="Z48" s="16">
        <f t="shared" si="25"/>
        <v>-26504.727480000005</v>
      </c>
      <c r="AA48" s="16">
        <f t="shared" si="25"/>
        <v>-31328.939980799998</v>
      </c>
      <c r="AB48" s="16">
        <f t="shared" si="25"/>
        <v>-27101.527992000003</v>
      </c>
      <c r="AC48" s="17">
        <f t="shared" si="25"/>
        <v>-17450.3376432</v>
      </c>
      <c r="AD48" s="10">
        <f t="shared" si="22"/>
        <v>-451711.20415679994</v>
      </c>
    </row>
    <row r="49" spans="3:30" ht="27.6" x14ac:dyDescent="0.25">
      <c r="C49" s="36" t="s">
        <v>18</v>
      </c>
      <c r="D49" s="16"/>
      <c r="E49" s="16"/>
      <c r="F49" s="16">
        <f t="shared" ref="F49:AC49" si="26">-F26</f>
        <v>-9664.1284319999995</v>
      </c>
      <c r="G49" s="16">
        <f t="shared" si="26"/>
        <v>-10962</v>
      </c>
      <c r="H49" s="16">
        <f t="shared" si="26"/>
        <v>-11426.301600000001</v>
      </c>
      <c r="I49" s="16">
        <f t="shared" si="26"/>
        <v>-7465.1220000000003</v>
      </c>
      <c r="J49" s="16">
        <f t="shared" si="26"/>
        <v>-9132.3204000000005</v>
      </c>
      <c r="K49" s="16">
        <f t="shared" si="26"/>
        <v>-13672.050000000001</v>
      </c>
      <c r="L49" s="16">
        <f t="shared" si="26"/>
        <v>-10991.232</v>
      </c>
      <c r="M49" s="16">
        <f t="shared" si="26"/>
        <v>-8035.3896000000004</v>
      </c>
      <c r="N49" s="16">
        <f t="shared" si="26"/>
        <v>-16063.4712</v>
      </c>
      <c r="O49" s="16">
        <f t="shared" si="26"/>
        <v>-18987.236352</v>
      </c>
      <c r="P49" s="16">
        <f t="shared" si="26"/>
        <v>-16425.16848</v>
      </c>
      <c r="Q49" s="16">
        <f t="shared" si="26"/>
        <v>-10575.962208000001</v>
      </c>
      <c r="R49" s="16">
        <f t="shared" si="26"/>
        <v>-10630.541275199999</v>
      </c>
      <c r="S49" s="16">
        <f t="shared" si="26"/>
        <v>-12058.200000000003</v>
      </c>
      <c r="T49" s="16">
        <f t="shared" si="26"/>
        <v>-12568.931760000001</v>
      </c>
      <c r="U49" s="16">
        <f t="shared" si="26"/>
        <v>-8211.6342000000004</v>
      </c>
      <c r="V49" s="16">
        <f t="shared" si="26"/>
        <v>-10045.552440000001</v>
      </c>
      <c r="W49" s="16">
        <f t="shared" si="26"/>
        <v>-15039.255000000003</v>
      </c>
      <c r="X49" s="16">
        <f t="shared" si="26"/>
        <v>-12090.355200000002</v>
      </c>
      <c r="Y49" s="16">
        <f t="shared" si="26"/>
        <v>-8838.9285600000021</v>
      </c>
      <c r="Z49" s="16">
        <f t="shared" si="26"/>
        <v>-17669.818320000002</v>
      </c>
      <c r="AA49" s="16">
        <f t="shared" si="26"/>
        <v>-20885.9599872</v>
      </c>
      <c r="AB49" s="16">
        <f t="shared" si="26"/>
        <v>-18067.685328000003</v>
      </c>
      <c r="AC49" s="17">
        <f t="shared" si="26"/>
        <v>-8633.5584287999991</v>
      </c>
      <c r="AD49" s="10">
        <f t="shared" si="22"/>
        <v>-298140.80277120002</v>
      </c>
    </row>
    <row r="50" spans="3:30" x14ac:dyDescent="0.25">
      <c r="C50" s="31" t="s">
        <v>25</v>
      </c>
      <c r="D50" s="16"/>
      <c r="E50" s="16"/>
      <c r="F50" s="16">
        <f>-(F45+F48+F49)</f>
        <v>55988.641079999994</v>
      </c>
      <c r="G50" s="16">
        <f>-(G45+G48+G49)</f>
        <v>72405</v>
      </c>
      <c r="H50" s="16">
        <f t="shared" ref="H50:AC50" si="27">-(H45+H48+H49)</f>
        <v>75471.754000000001</v>
      </c>
      <c r="I50" s="16">
        <f t="shared" si="27"/>
        <v>49307.805000000008</v>
      </c>
      <c r="J50" s="16">
        <f t="shared" si="27"/>
        <v>60319.801000000007</v>
      </c>
      <c r="K50" s="16">
        <f t="shared" si="27"/>
        <v>90305.125</v>
      </c>
      <c r="L50" s="16">
        <f t="shared" si="27"/>
        <v>72598.080000000002</v>
      </c>
      <c r="M50" s="16">
        <f t="shared" si="27"/>
        <v>53074.474000000002</v>
      </c>
      <c r="N50" s="16">
        <f t="shared" si="27"/>
        <v>106100.678</v>
      </c>
      <c r="O50" s="16">
        <f t="shared" si="27"/>
        <v>125412.41087999998</v>
      </c>
      <c r="P50" s="16">
        <f t="shared" si="27"/>
        <v>108489.7212</v>
      </c>
      <c r="Q50" s="16">
        <f t="shared" si="27"/>
        <v>69855.185519999999</v>
      </c>
      <c r="R50" s="16">
        <f t="shared" si="27"/>
        <v>61587.505187999996</v>
      </c>
      <c r="S50" s="16">
        <f t="shared" si="27"/>
        <v>79645.500000000015</v>
      </c>
      <c r="T50" s="16">
        <f t="shared" si="27"/>
        <v>83018.929400000023</v>
      </c>
      <c r="U50" s="16">
        <f t="shared" si="27"/>
        <v>54238.585500000001</v>
      </c>
      <c r="V50" s="16">
        <f t="shared" si="27"/>
        <v>66351.781100000007</v>
      </c>
      <c r="W50" s="16">
        <f t="shared" si="27"/>
        <v>99335.637500000012</v>
      </c>
      <c r="X50" s="16">
        <f t="shared" si="27"/>
        <v>79857.888000000021</v>
      </c>
      <c r="Y50" s="16">
        <f t="shared" si="27"/>
        <v>58381.921400000007</v>
      </c>
      <c r="Z50" s="16">
        <f t="shared" si="27"/>
        <v>116710.74580000002</v>
      </c>
      <c r="AA50" s="16">
        <f t="shared" si="27"/>
        <v>137953.65196799999</v>
      </c>
      <c r="AB50" s="16">
        <f t="shared" si="27"/>
        <v>119338.69332000002</v>
      </c>
      <c r="AC50" s="17">
        <f t="shared" si="27"/>
        <v>38370.1609207656</v>
      </c>
      <c r="AD50" s="10">
        <f t="shared" si="22"/>
        <v>1934119.6757767657</v>
      </c>
    </row>
    <row r="51" spans="3:30" x14ac:dyDescent="0.25">
      <c r="C51" s="38" t="s">
        <v>23</v>
      </c>
      <c r="D51" s="18"/>
      <c r="E51" s="18">
        <v>0</v>
      </c>
      <c r="F51" s="18">
        <f>SUM(F42:F45)+SUM(F48:F50)</f>
        <v>-5272.4000385504005</v>
      </c>
      <c r="G51" s="18">
        <f>SUM(G42:G45)+SUM(G48:G50)</f>
        <v>-7454.3049000000028</v>
      </c>
      <c r="H51" s="18">
        <f t="shared" ref="H51:AC51" si="28">SUM(H42:H45)+SUM(H48:H50)</f>
        <v>-7770.0361253200026</v>
      </c>
      <c r="I51" s="18">
        <f t="shared" si="28"/>
        <v>-5076.3816368999978</v>
      </c>
      <c r="J51" s="18">
        <f t="shared" si="28"/>
        <v>-6210.0985865799885</v>
      </c>
      <c r="K51" s="18">
        <f t="shared" si="28"/>
        <v>-9297.1747224999854</v>
      </c>
      <c r="L51" s="18">
        <f t="shared" si="28"/>
        <v>-7474.1830463999868</v>
      </c>
      <c r="M51" s="18">
        <f t="shared" si="28"/>
        <v>-5464.1711429199859</v>
      </c>
      <c r="N51" s="18">
        <f t="shared" si="28"/>
        <v>-10923.372749239992</v>
      </c>
      <c r="O51" s="18">
        <f t="shared" si="28"/>
        <v>-12911.571700070403</v>
      </c>
      <c r="P51" s="18">
        <f t="shared" si="28"/>
        <v>-11169.331680696007</v>
      </c>
      <c r="Q51" s="18">
        <f t="shared" si="28"/>
        <v>-7191.794098641607</v>
      </c>
      <c r="R51" s="18">
        <f t="shared" si="28"/>
        <v>-5799.6400424054445</v>
      </c>
      <c r="S51" s="18">
        <f t="shared" si="28"/>
        <v>-8199.7353900000089</v>
      </c>
      <c r="T51" s="18">
        <f t="shared" si="28"/>
        <v>-8547.039737851992</v>
      </c>
      <c r="U51" s="18">
        <f t="shared" si="28"/>
        <v>-5584.0198005899874</v>
      </c>
      <c r="V51" s="18">
        <f t="shared" si="28"/>
        <v>-6831.10844523798</v>
      </c>
      <c r="W51" s="18">
        <f t="shared" si="28"/>
        <v>-10226.892194749984</v>
      </c>
      <c r="X51" s="18">
        <f t="shared" si="28"/>
        <v>-8221.6013510399789</v>
      </c>
      <c r="Y51" s="18">
        <f t="shared" si="28"/>
        <v>-6010.5882572119808</v>
      </c>
      <c r="Z51" s="18">
        <f t="shared" si="28"/>
        <v>-12015.710024163986</v>
      </c>
      <c r="AA51" s="18">
        <f t="shared" si="28"/>
        <v>-14202.728870077422</v>
      </c>
      <c r="AB51" s="18">
        <f t="shared" si="28"/>
        <v>-12286.264848765582</v>
      </c>
      <c r="AC51" s="19">
        <f t="shared" si="28"/>
        <v>1.8189894035458565E-11</v>
      </c>
    </row>
    <row r="53" spans="3:30" ht="27.6" x14ac:dyDescent="0.25">
      <c r="C53" s="13" t="s">
        <v>5</v>
      </c>
    </row>
    <row r="54" spans="3:30" x14ac:dyDescent="0.25">
      <c r="C54" s="43" t="s">
        <v>6</v>
      </c>
      <c r="D54" s="14"/>
      <c r="E54" s="14"/>
      <c r="F54" s="14">
        <f>E62</f>
        <v>85649</v>
      </c>
      <c r="G54" s="14">
        <f t="shared" ref="G54:AC54" si="29">F62</f>
        <v>-142582.11043710113</v>
      </c>
      <c r="H54" s="14">
        <f t="shared" si="29"/>
        <v>-771283.51736376819</v>
      </c>
      <c r="I54" s="14">
        <f t="shared" si="29"/>
        <v>-785173.84232097236</v>
      </c>
      <c r="J54" s="14">
        <f t="shared" si="29"/>
        <v>-1778898.6565644366</v>
      </c>
      <c r="K54" s="14">
        <f t="shared" si="29"/>
        <v>-2161307.1114126672</v>
      </c>
      <c r="L54" s="14">
        <f t="shared" si="29"/>
        <v>-2129477.8521138043</v>
      </c>
      <c r="M54" s="14">
        <f t="shared" si="29"/>
        <v>-2075860.2866695877</v>
      </c>
      <c r="N54" s="14">
        <f t="shared" si="29"/>
        <v>-1903434.4893313253</v>
      </c>
      <c r="O54" s="14">
        <f t="shared" si="29"/>
        <v>-1901033.0705028628</v>
      </c>
      <c r="P54" s="14">
        <f t="shared" si="29"/>
        <v>-1873012.4123522439</v>
      </c>
      <c r="Q54" s="14">
        <f t="shared" si="29"/>
        <v>-1738831.0802314202</v>
      </c>
      <c r="R54" s="14">
        <f t="shared" si="29"/>
        <v>-1485562.3288812498</v>
      </c>
      <c r="S54" s="14">
        <f t="shared" si="29"/>
        <v>-1199484.3202235643</v>
      </c>
      <c r="T54" s="14">
        <f t="shared" si="29"/>
        <v>-914734.41930304305</v>
      </c>
      <c r="U54" s="14">
        <f t="shared" si="29"/>
        <v>-655757.38571611233</v>
      </c>
      <c r="V54" s="14">
        <f t="shared" si="29"/>
        <v>-483309.15284406772</v>
      </c>
      <c r="W54" s="14">
        <f t="shared" si="29"/>
        <v>-360290.75938726641</v>
      </c>
      <c r="X54" s="14">
        <f t="shared" si="29"/>
        <v>-258144.48436866247</v>
      </c>
      <c r="Y54" s="14">
        <f t="shared" si="29"/>
        <v>-167567.52309016982</v>
      </c>
      <c r="Z54" s="14">
        <f t="shared" si="29"/>
        <v>-89855.351228225874</v>
      </c>
      <c r="AA54" s="14">
        <f t="shared" si="29"/>
        <v>-46014.349227061917</v>
      </c>
      <c r="AB54" s="14">
        <f t="shared" si="29"/>
        <v>-22734.080971526069</v>
      </c>
      <c r="AC54" s="15">
        <f t="shared" si="29"/>
        <v>-12286.264848764957</v>
      </c>
    </row>
    <row r="55" spans="3:30" x14ac:dyDescent="0.25">
      <c r="C55" s="36" t="s">
        <v>32</v>
      </c>
      <c r="D55" s="16"/>
      <c r="E55" s="16"/>
      <c r="F55" s="16">
        <f t="shared" ref="F55:AC55" si="30">F38</f>
        <v>34462.483333333337</v>
      </c>
      <c r="G55" s="16">
        <f t="shared" si="30"/>
        <v>85994.650000000009</v>
      </c>
      <c r="H55" s="16">
        <f t="shared" si="30"/>
        <v>115284.81666666669</v>
      </c>
      <c r="I55" s="16">
        <f t="shared" si="30"/>
        <v>209852.31666666668</v>
      </c>
      <c r="J55" s="16">
        <f t="shared" si="30"/>
        <v>257452.03333333335</v>
      </c>
      <c r="K55" s="16">
        <f t="shared" si="30"/>
        <v>277160.90000000002</v>
      </c>
      <c r="L55" s="16">
        <f t="shared" si="30"/>
        <v>295024.46666666667</v>
      </c>
      <c r="M55" s="16">
        <f t="shared" si="30"/>
        <v>308782.90000000002</v>
      </c>
      <c r="N55" s="16">
        <f t="shared" si="30"/>
        <v>335788.2</v>
      </c>
      <c r="O55" s="16">
        <f t="shared" si="30"/>
        <v>361450.13333333336</v>
      </c>
      <c r="P55" s="16">
        <f t="shared" si="30"/>
        <v>379277.43333333335</v>
      </c>
      <c r="Q55" s="16">
        <f t="shared" si="30"/>
        <v>392177.66666666669</v>
      </c>
      <c r="R55" s="16">
        <f t="shared" si="30"/>
        <v>357715.18333333335</v>
      </c>
      <c r="S55" s="16">
        <f t="shared" si="30"/>
        <v>306183.01666666666</v>
      </c>
      <c r="T55" s="16">
        <f t="shared" si="30"/>
        <v>276892.85000000003</v>
      </c>
      <c r="U55" s="16">
        <f t="shared" si="30"/>
        <v>182325.35</v>
      </c>
      <c r="V55" s="16">
        <f t="shared" si="30"/>
        <v>134725.63333333336</v>
      </c>
      <c r="W55" s="16">
        <f t="shared" si="30"/>
        <v>115016.76666666668</v>
      </c>
      <c r="X55" s="16">
        <f t="shared" si="30"/>
        <v>97153.200000000012</v>
      </c>
      <c r="Y55" s="16">
        <f t="shared" si="30"/>
        <v>83394.766666666677</v>
      </c>
      <c r="Z55" s="16">
        <f t="shared" si="30"/>
        <v>56389.466666666674</v>
      </c>
      <c r="AA55" s="16">
        <f t="shared" si="30"/>
        <v>30727.533333333336</v>
      </c>
      <c r="AB55" s="16">
        <f t="shared" si="30"/>
        <v>12900.233333333332</v>
      </c>
      <c r="AC55" s="17">
        <f t="shared" si="30"/>
        <v>0</v>
      </c>
      <c r="AD55" s="10">
        <f t="shared" ref="AD55:AD61" si="31">SUM(F55:AC55)</f>
        <v>4706132.0000000009</v>
      </c>
    </row>
    <row r="56" spans="3:30" ht="27.6" x14ac:dyDescent="0.25">
      <c r="C56" s="36" t="s">
        <v>33</v>
      </c>
      <c r="D56" s="16"/>
      <c r="E56" s="16"/>
      <c r="F56" s="16">
        <f>F43+F44+F48+F49+F47</f>
        <v>-61261.041118550398</v>
      </c>
      <c r="G56" s="16">
        <f t="shared" ref="G56:AC56" si="32">G43+G44+G48+G49+G47</f>
        <v>-74586.904861449599</v>
      </c>
      <c r="H56" s="16">
        <f t="shared" si="32"/>
        <v>-75787.485225320008</v>
      </c>
      <c r="I56" s="16">
        <f t="shared" si="32"/>
        <v>-46614.150511579996</v>
      </c>
      <c r="J56" s="16">
        <f t="shared" si="32"/>
        <v>-61453.517949679997</v>
      </c>
      <c r="K56" s="16">
        <f t="shared" si="32"/>
        <v>-93392.201135920011</v>
      </c>
      <c r="L56" s="16">
        <f t="shared" si="32"/>
        <v>-70775.08832390001</v>
      </c>
      <c r="M56" s="16">
        <f t="shared" si="32"/>
        <v>-51064.462096520001</v>
      </c>
      <c r="N56" s="16">
        <f t="shared" si="32"/>
        <v>-111559.87960632</v>
      </c>
      <c r="O56" s="16">
        <f t="shared" si="32"/>
        <v>-127400.60983083039</v>
      </c>
      <c r="P56" s="16">
        <f t="shared" si="32"/>
        <v>-106747.4811806256</v>
      </c>
      <c r="Q56" s="16">
        <f t="shared" si="32"/>
        <v>-65877.6479379456</v>
      </c>
      <c r="R56" s="16">
        <f t="shared" si="32"/>
        <v>-53003.557033122241</v>
      </c>
      <c r="S56" s="16">
        <f t="shared" si="32"/>
        <v>-82045.595347594572</v>
      </c>
      <c r="T56" s="16">
        <f t="shared" si="32"/>
        <v>-83366.233747852006</v>
      </c>
      <c r="U56" s="16">
        <f t="shared" si="32"/>
        <v>-51275.565562738004</v>
      </c>
      <c r="V56" s="16">
        <f t="shared" si="32"/>
        <v>-67598.869744648007</v>
      </c>
      <c r="W56" s="16">
        <f t="shared" si="32"/>
        <v>-102731.42124951202</v>
      </c>
      <c r="X56" s="16">
        <f t="shared" si="32"/>
        <v>-77852.597156290023</v>
      </c>
      <c r="Y56" s="16">
        <f t="shared" si="32"/>
        <v>-56170.908306172008</v>
      </c>
      <c r="Z56" s="16">
        <f t="shared" si="32"/>
        <v>-122715.86756695202</v>
      </c>
      <c r="AA56" s="16">
        <f t="shared" si="32"/>
        <v>-140140.67081391343</v>
      </c>
      <c r="AB56" s="16">
        <f t="shared" si="32"/>
        <v>-117422.22929868818</v>
      </c>
      <c r="AC56" s="16">
        <f t="shared" si="32"/>
        <v>-26083.896072</v>
      </c>
      <c r="AD56" s="10">
        <f t="shared" si="31"/>
        <v>-1926927.8816781244</v>
      </c>
    </row>
    <row r="57" spans="3:30" ht="27.6" x14ac:dyDescent="0.25">
      <c r="C57" s="36" t="s">
        <v>41</v>
      </c>
      <c r="D57" s="16"/>
      <c r="E57" s="16"/>
      <c r="F57" s="16">
        <f t="shared" ref="F57:AC57" si="33">F37</f>
        <v>-5446.9937318840584</v>
      </c>
      <c r="G57" s="16">
        <f t="shared" si="33"/>
        <v>-8023.602065217392</v>
      </c>
      <c r="H57" s="16">
        <f t="shared" si="33"/>
        <v>-9488.1103985507252</v>
      </c>
      <c r="I57" s="16">
        <f t="shared" si="33"/>
        <v>-14216.485398550727</v>
      </c>
      <c r="J57" s="16">
        <f t="shared" si="33"/>
        <v>-16596.471231884061</v>
      </c>
      <c r="K57" s="16">
        <f t="shared" si="33"/>
        <v>-17581.914565217394</v>
      </c>
      <c r="L57" s="16">
        <f t="shared" si="33"/>
        <v>-18475.092898550727</v>
      </c>
      <c r="M57" s="16">
        <f t="shared" si="33"/>
        <v>-19163.014565217396</v>
      </c>
      <c r="N57" s="16">
        <f t="shared" si="33"/>
        <v>-20513.279565217395</v>
      </c>
      <c r="O57" s="16">
        <f t="shared" si="33"/>
        <v>-21796.376231884064</v>
      </c>
      <c r="P57" s="16">
        <f t="shared" si="33"/>
        <v>-22687.741231884062</v>
      </c>
      <c r="Q57" s="16">
        <f t="shared" si="33"/>
        <v>-23332.752898550727</v>
      </c>
      <c r="R57" s="16">
        <f t="shared" si="33"/>
        <v>-21609.628731884062</v>
      </c>
      <c r="S57" s="16">
        <f t="shared" si="33"/>
        <v>-19033.020398550725</v>
      </c>
      <c r="T57" s="16">
        <f t="shared" si="33"/>
        <v>-17568.512065217394</v>
      </c>
      <c r="U57" s="16">
        <f t="shared" si="33"/>
        <v>-12840.137065217394</v>
      </c>
      <c r="V57" s="16">
        <f t="shared" si="33"/>
        <v>-10460.151231884058</v>
      </c>
      <c r="W57" s="16">
        <f t="shared" si="33"/>
        <v>-9474.7078985507251</v>
      </c>
      <c r="X57" s="16">
        <f t="shared" si="33"/>
        <v>-8581.5295652173918</v>
      </c>
      <c r="Y57" s="16">
        <f t="shared" si="33"/>
        <v>-7893.6078985507247</v>
      </c>
      <c r="Z57" s="16">
        <f t="shared" si="33"/>
        <v>-6543.3428985507253</v>
      </c>
      <c r="AA57" s="16">
        <f t="shared" si="33"/>
        <v>-5260.2462318840589</v>
      </c>
      <c r="AB57" s="16">
        <f t="shared" si="33"/>
        <v>-4368.8812318840583</v>
      </c>
      <c r="AC57" s="17">
        <f t="shared" si="33"/>
        <v>0</v>
      </c>
      <c r="AD57" s="10">
        <f t="shared" si="31"/>
        <v>-320955.60000000009</v>
      </c>
    </row>
    <row r="58" spans="3:30" ht="27.6" x14ac:dyDescent="0.25">
      <c r="C58" s="36" t="s">
        <v>34</v>
      </c>
      <c r="D58" s="16"/>
      <c r="E58" s="16"/>
      <c r="F58" s="16"/>
      <c r="G58" s="16"/>
      <c r="H58" s="16"/>
      <c r="I58" s="16"/>
      <c r="J58" s="16"/>
      <c r="K58" s="16"/>
      <c r="L58" s="16"/>
      <c r="M58" s="16"/>
      <c r="N58" s="16"/>
      <c r="O58" s="16"/>
      <c r="P58" s="16"/>
      <c r="Q58" s="16"/>
      <c r="R58" s="16">
        <f>R46</f>
        <v>-7191.7940986415997</v>
      </c>
      <c r="S58" s="16"/>
      <c r="T58" s="16"/>
      <c r="U58" s="16"/>
      <c r="V58" s="16"/>
      <c r="W58" s="16"/>
      <c r="X58" s="16"/>
      <c r="Y58" s="16"/>
      <c r="Z58" s="16"/>
      <c r="AA58" s="16"/>
      <c r="AB58" s="16"/>
      <c r="AC58" s="17"/>
      <c r="AD58" s="10">
        <f t="shared" si="31"/>
        <v>-7191.7940986415997</v>
      </c>
    </row>
    <row r="59" spans="3:30" ht="27.6" x14ac:dyDescent="0.25">
      <c r="C59" s="36" t="s">
        <v>35</v>
      </c>
      <c r="D59" s="16"/>
      <c r="E59" s="16"/>
      <c r="F59" s="16">
        <f t="shared" ref="F59:AC59" si="34">F35</f>
        <v>-265236</v>
      </c>
      <c r="G59" s="16">
        <f t="shared" si="34"/>
        <v>-741569</v>
      </c>
      <c r="H59" s="16">
        <f t="shared" si="34"/>
        <v>-125654</v>
      </c>
      <c r="I59" s="16">
        <f t="shared" si="34"/>
        <v>-1254794</v>
      </c>
      <c r="J59" s="16">
        <f t="shared" si="34"/>
        <v>-654874</v>
      </c>
      <c r="K59" s="16">
        <f t="shared" si="34"/>
        <v>-236487</v>
      </c>
      <c r="L59" s="16">
        <f t="shared" si="34"/>
        <v>-236584</v>
      </c>
      <c r="M59" s="16">
        <f t="shared" si="34"/>
        <v>-125478</v>
      </c>
      <c r="N59" s="16">
        <f t="shared" si="34"/>
        <v>-323594</v>
      </c>
      <c r="O59" s="16">
        <f t="shared" si="34"/>
        <v>-325942</v>
      </c>
      <c r="P59" s="16">
        <f t="shared" si="34"/>
        <v>-235948</v>
      </c>
      <c r="Q59" s="16">
        <f t="shared" si="34"/>
        <v>-125846</v>
      </c>
      <c r="R59" s="16">
        <f t="shared" si="34"/>
        <v>-54126</v>
      </c>
      <c r="S59" s="16">
        <f t="shared" si="34"/>
        <v>0</v>
      </c>
      <c r="T59" s="16">
        <f t="shared" si="34"/>
        <v>0</v>
      </c>
      <c r="U59" s="16">
        <f t="shared" si="34"/>
        <v>0</v>
      </c>
      <c r="V59" s="16">
        <f t="shared" si="34"/>
        <v>0</v>
      </c>
      <c r="W59" s="16">
        <f t="shared" si="34"/>
        <v>0</v>
      </c>
      <c r="X59" s="16">
        <f t="shared" si="34"/>
        <v>0</v>
      </c>
      <c r="Y59" s="16">
        <f t="shared" si="34"/>
        <v>0</v>
      </c>
      <c r="Z59" s="16">
        <f t="shared" si="34"/>
        <v>0</v>
      </c>
      <c r="AA59" s="16">
        <f t="shared" si="34"/>
        <v>0</v>
      </c>
      <c r="AB59" s="16">
        <f t="shared" si="34"/>
        <v>0</v>
      </c>
      <c r="AC59" s="17">
        <f t="shared" si="34"/>
        <v>0</v>
      </c>
      <c r="AD59" s="10">
        <f t="shared" si="31"/>
        <v>-4706132</v>
      </c>
    </row>
    <row r="60" spans="3:30" ht="27.6" x14ac:dyDescent="0.25">
      <c r="C60" s="36" t="s">
        <v>36</v>
      </c>
      <c r="D60" s="16"/>
      <c r="E60" s="16">
        <f>E24</f>
        <v>85649</v>
      </c>
      <c r="F60" s="16">
        <f>F36</f>
        <v>13261.800000000001</v>
      </c>
      <c r="G60" s="16">
        <f t="shared" ref="G60:AC60" si="35">G36</f>
        <v>37078.450000000004</v>
      </c>
      <c r="H60" s="16">
        <f t="shared" si="35"/>
        <v>6282.7000000000007</v>
      </c>
      <c r="I60" s="16">
        <f t="shared" si="35"/>
        <v>62739.700000000004</v>
      </c>
      <c r="J60" s="16">
        <f t="shared" si="35"/>
        <v>32743.7</v>
      </c>
      <c r="K60" s="16">
        <f t="shared" si="35"/>
        <v>11824.35</v>
      </c>
      <c r="L60" s="16">
        <f t="shared" si="35"/>
        <v>11829.2</v>
      </c>
      <c r="M60" s="16">
        <f t="shared" si="35"/>
        <v>6273.9000000000005</v>
      </c>
      <c r="N60" s="16">
        <f t="shared" si="35"/>
        <v>16179.7</v>
      </c>
      <c r="O60" s="16">
        <f t="shared" si="35"/>
        <v>16297.1</v>
      </c>
      <c r="P60" s="16">
        <f t="shared" si="35"/>
        <v>11797.400000000001</v>
      </c>
      <c r="Q60" s="16">
        <f t="shared" si="35"/>
        <v>6292.3</v>
      </c>
      <c r="R60" s="16">
        <f t="shared" si="35"/>
        <v>2706.3</v>
      </c>
      <c r="S60" s="16">
        <f t="shared" si="35"/>
        <v>0</v>
      </c>
      <c r="T60" s="16">
        <f t="shared" si="35"/>
        <v>0</v>
      </c>
      <c r="U60" s="16">
        <f t="shared" si="35"/>
        <v>0</v>
      </c>
      <c r="V60" s="16">
        <f t="shared" si="35"/>
        <v>0</v>
      </c>
      <c r="W60" s="16">
        <f t="shared" si="35"/>
        <v>0</v>
      </c>
      <c r="X60" s="16">
        <f t="shared" si="35"/>
        <v>0</v>
      </c>
      <c r="Y60" s="16">
        <f t="shared" si="35"/>
        <v>0</v>
      </c>
      <c r="Z60" s="16">
        <f t="shared" si="35"/>
        <v>0</v>
      </c>
      <c r="AA60" s="16">
        <f t="shared" si="35"/>
        <v>0</v>
      </c>
      <c r="AB60" s="16">
        <f t="shared" si="35"/>
        <v>0</v>
      </c>
      <c r="AC60" s="17">
        <f t="shared" si="35"/>
        <v>0</v>
      </c>
      <c r="AD60" s="10">
        <f>SUM(E60:AC60)</f>
        <v>320955.60000000003</v>
      </c>
    </row>
    <row r="61" spans="3:30" ht="41.4" x14ac:dyDescent="0.25">
      <c r="C61" s="36" t="s">
        <v>37</v>
      </c>
      <c r="D61" s="16"/>
      <c r="E61" s="16"/>
      <c r="F61" s="16">
        <f>F50</f>
        <v>55988.641079999994</v>
      </c>
      <c r="G61" s="16">
        <f t="shared" ref="G61:AC61" si="36">G50</f>
        <v>72405</v>
      </c>
      <c r="H61" s="16">
        <f t="shared" si="36"/>
        <v>75471.754000000001</v>
      </c>
      <c r="I61" s="16">
        <f t="shared" si="36"/>
        <v>49307.805000000008</v>
      </c>
      <c r="J61" s="16">
        <f t="shared" si="36"/>
        <v>60319.801000000007</v>
      </c>
      <c r="K61" s="16">
        <f t="shared" si="36"/>
        <v>90305.125</v>
      </c>
      <c r="L61" s="16">
        <f t="shared" si="36"/>
        <v>72598.080000000002</v>
      </c>
      <c r="M61" s="16">
        <f t="shared" si="36"/>
        <v>53074.474000000002</v>
      </c>
      <c r="N61" s="16">
        <f t="shared" si="36"/>
        <v>106100.678</v>
      </c>
      <c r="O61" s="16">
        <f t="shared" si="36"/>
        <v>125412.41087999998</v>
      </c>
      <c r="P61" s="16">
        <f t="shared" si="36"/>
        <v>108489.7212</v>
      </c>
      <c r="Q61" s="16">
        <f t="shared" si="36"/>
        <v>69855.185519999999</v>
      </c>
      <c r="R61" s="16">
        <f t="shared" si="36"/>
        <v>61587.505187999996</v>
      </c>
      <c r="S61" s="16">
        <f t="shared" si="36"/>
        <v>79645.500000000015</v>
      </c>
      <c r="T61" s="16">
        <f t="shared" si="36"/>
        <v>83018.929400000023</v>
      </c>
      <c r="U61" s="16">
        <f t="shared" si="36"/>
        <v>54238.585500000001</v>
      </c>
      <c r="V61" s="16">
        <f t="shared" si="36"/>
        <v>66351.781100000007</v>
      </c>
      <c r="W61" s="16">
        <f t="shared" si="36"/>
        <v>99335.637500000012</v>
      </c>
      <c r="X61" s="16">
        <f t="shared" si="36"/>
        <v>79857.888000000021</v>
      </c>
      <c r="Y61" s="16">
        <f t="shared" si="36"/>
        <v>58381.921400000007</v>
      </c>
      <c r="Z61" s="16">
        <f t="shared" si="36"/>
        <v>116710.74580000002</v>
      </c>
      <c r="AA61" s="16">
        <f t="shared" si="36"/>
        <v>137953.65196799999</v>
      </c>
      <c r="AB61" s="16">
        <f t="shared" si="36"/>
        <v>119338.69332000002</v>
      </c>
      <c r="AC61" s="17">
        <f t="shared" si="36"/>
        <v>38370.1609207656</v>
      </c>
      <c r="AD61" s="10">
        <f t="shared" si="31"/>
        <v>1934119.6757767657</v>
      </c>
    </row>
    <row r="62" spans="3:30" x14ac:dyDescent="0.25">
      <c r="C62" s="32" t="s">
        <v>7</v>
      </c>
      <c r="D62" s="18"/>
      <c r="E62" s="18">
        <f>SUM(E54:E61)</f>
        <v>85649</v>
      </c>
      <c r="F62" s="18">
        <f>SUM(F54:F61)</f>
        <v>-142582.11043710113</v>
      </c>
      <c r="G62" s="18">
        <f t="shared" ref="G62:AB62" si="37">SUM(G54:G61)</f>
        <v>-771283.51736376819</v>
      </c>
      <c r="H62" s="18">
        <f t="shared" si="37"/>
        <v>-785173.84232097236</v>
      </c>
      <c r="I62" s="18">
        <f t="shared" si="37"/>
        <v>-1778898.6565644366</v>
      </c>
      <c r="J62" s="18">
        <f t="shared" si="37"/>
        <v>-2161307.1114126672</v>
      </c>
      <c r="K62" s="18">
        <f t="shared" si="37"/>
        <v>-2129477.8521138043</v>
      </c>
      <c r="L62" s="18">
        <f t="shared" si="37"/>
        <v>-2075860.2866695877</v>
      </c>
      <c r="M62" s="18">
        <f t="shared" si="37"/>
        <v>-1903434.4893313253</v>
      </c>
      <c r="N62" s="18">
        <f t="shared" si="37"/>
        <v>-1901033.0705028628</v>
      </c>
      <c r="O62" s="18">
        <f t="shared" si="37"/>
        <v>-1873012.4123522439</v>
      </c>
      <c r="P62" s="18">
        <f t="shared" si="37"/>
        <v>-1738831.0802314202</v>
      </c>
      <c r="Q62" s="18">
        <f t="shared" si="37"/>
        <v>-1485562.3288812498</v>
      </c>
      <c r="R62" s="18">
        <f t="shared" si="37"/>
        <v>-1199484.3202235643</v>
      </c>
      <c r="S62" s="18">
        <f t="shared" si="37"/>
        <v>-914734.41930304305</v>
      </c>
      <c r="T62" s="18">
        <f t="shared" si="37"/>
        <v>-655757.38571611233</v>
      </c>
      <c r="U62" s="18">
        <f t="shared" si="37"/>
        <v>-483309.15284406772</v>
      </c>
      <c r="V62" s="18">
        <f t="shared" si="37"/>
        <v>-360290.75938726641</v>
      </c>
      <c r="W62" s="18">
        <f t="shared" si="37"/>
        <v>-258144.48436866247</v>
      </c>
      <c r="X62" s="18">
        <f t="shared" si="37"/>
        <v>-167567.52309016982</v>
      </c>
      <c r="Y62" s="18">
        <f t="shared" si="37"/>
        <v>-89855.351228225874</v>
      </c>
      <c r="Z62" s="18">
        <f t="shared" si="37"/>
        <v>-46014.349227061917</v>
      </c>
      <c r="AA62" s="18">
        <f t="shared" si="37"/>
        <v>-22734.080971526069</v>
      </c>
      <c r="AB62" s="18">
        <f t="shared" si="37"/>
        <v>-12286.264848764957</v>
      </c>
      <c r="AC62" s="19">
        <f>SUM(AC54:AC61)</f>
        <v>6.4028427004814148E-10</v>
      </c>
    </row>
    <row r="63" spans="3:30" x14ac:dyDescent="0.25">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row>
    <row r="64" spans="3:30" ht="27.6" x14ac:dyDescent="0.25">
      <c r="C64" s="56" t="s">
        <v>43</v>
      </c>
      <c r="E64" s="18"/>
      <c r="F64" s="18"/>
      <c r="G64" s="18"/>
      <c r="H64" s="18"/>
      <c r="I64" s="18"/>
      <c r="J64" s="18"/>
      <c r="K64" s="18"/>
      <c r="L64" s="18"/>
      <c r="M64" s="18"/>
      <c r="N64" s="18"/>
      <c r="O64" s="18"/>
      <c r="P64" s="18"/>
      <c r="Q64" s="18"/>
      <c r="R64" s="18"/>
      <c r="S64" s="18"/>
      <c r="T64" s="18"/>
      <c r="U64" s="18"/>
      <c r="V64" s="18"/>
      <c r="W64" s="18"/>
      <c r="X64" s="18"/>
      <c r="Y64" s="18"/>
      <c r="Z64" s="18"/>
      <c r="AA64" s="18"/>
      <c r="AB64" s="18"/>
      <c r="AC64" s="19"/>
    </row>
    <row r="65" spans="2:30" x14ac:dyDescent="0.25">
      <c r="C65" s="50" t="s">
        <v>2</v>
      </c>
      <c r="D65" s="14"/>
      <c r="E65" s="14"/>
      <c r="F65" s="48">
        <f>F38</f>
        <v>34462.483333333337</v>
      </c>
      <c r="G65" s="48">
        <f t="shared" ref="G65:AC65" si="38">G38</f>
        <v>85994.650000000009</v>
      </c>
      <c r="H65" s="48">
        <f t="shared" si="38"/>
        <v>115284.81666666669</v>
      </c>
      <c r="I65" s="48">
        <f t="shared" si="38"/>
        <v>209852.31666666668</v>
      </c>
      <c r="J65" s="48">
        <f t="shared" si="38"/>
        <v>257452.03333333335</v>
      </c>
      <c r="K65" s="48">
        <f t="shared" si="38"/>
        <v>277160.90000000002</v>
      </c>
      <c r="L65" s="48">
        <f t="shared" si="38"/>
        <v>295024.46666666667</v>
      </c>
      <c r="M65" s="48">
        <f t="shared" si="38"/>
        <v>308782.90000000002</v>
      </c>
      <c r="N65" s="48">
        <f t="shared" si="38"/>
        <v>335788.2</v>
      </c>
      <c r="O65" s="48">
        <f t="shared" si="38"/>
        <v>361450.13333333336</v>
      </c>
      <c r="P65" s="48">
        <f t="shared" si="38"/>
        <v>379277.43333333335</v>
      </c>
      <c r="Q65" s="48">
        <f t="shared" si="38"/>
        <v>392177.66666666669</v>
      </c>
      <c r="R65" s="48">
        <f t="shared" si="38"/>
        <v>357715.18333333335</v>
      </c>
      <c r="S65" s="48">
        <f t="shared" si="38"/>
        <v>306183.01666666666</v>
      </c>
      <c r="T65" s="48">
        <f t="shared" si="38"/>
        <v>276892.85000000003</v>
      </c>
      <c r="U65" s="48">
        <f t="shared" si="38"/>
        <v>182325.35</v>
      </c>
      <c r="V65" s="48">
        <f t="shared" si="38"/>
        <v>134725.63333333336</v>
      </c>
      <c r="W65" s="48">
        <f t="shared" si="38"/>
        <v>115016.76666666668</v>
      </c>
      <c r="X65" s="48">
        <f t="shared" si="38"/>
        <v>97153.200000000012</v>
      </c>
      <c r="Y65" s="48">
        <f t="shared" si="38"/>
        <v>83394.766666666677</v>
      </c>
      <c r="Z65" s="48">
        <f t="shared" si="38"/>
        <v>56389.466666666674</v>
      </c>
      <c r="AA65" s="48">
        <f t="shared" si="38"/>
        <v>30727.533333333336</v>
      </c>
      <c r="AB65" s="48">
        <f t="shared" si="38"/>
        <v>12900.233333333332</v>
      </c>
      <c r="AC65" s="49">
        <f t="shared" si="38"/>
        <v>0</v>
      </c>
      <c r="AD65" s="10">
        <f>SUM(E65:AC65)</f>
        <v>4706132.0000000009</v>
      </c>
    </row>
    <row r="66" spans="2:30" x14ac:dyDescent="0.25">
      <c r="C66" s="51"/>
      <c r="D66" s="16"/>
      <c r="E66" s="16"/>
      <c r="F66" s="22"/>
      <c r="G66" s="16"/>
      <c r="H66" s="16"/>
      <c r="I66" s="16"/>
      <c r="J66" s="16"/>
      <c r="K66" s="16"/>
      <c r="L66" s="16"/>
      <c r="M66" s="16"/>
      <c r="N66" s="16"/>
      <c r="O66" s="16"/>
      <c r="P66" s="16"/>
      <c r="Q66" s="16"/>
      <c r="R66" s="16"/>
      <c r="S66" s="16"/>
      <c r="T66" s="16"/>
      <c r="U66" s="16"/>
      <c r="V66" s="16"/>
      <c r="W66" s="16"/>
      <c r="X66" s="16"/>
      <c r="Y66" s="16"/>
      <c r="Z66" s="16"/>
      <c r="AA66" s="16"/>
      <c r="AB66" s="16"/>
      <c r="AC66" s="17"/>
      <c r="AD66" s="10">
        <f t="shared" ref="AD66:AD72" si="39">SUM(E66:AC66)</f>
        <v>0</v>
      </c>
    </row>
    <row r="67" spans="2:30" x14ac:dyDescent="0.25">
      <c r="C67" s="52" t="s">
        <v>8</v>
      </c>
      <c r="D67" s="16"/>
      <c r="E67" s="16"/>
      <c r="F67" s="16">
        <f t="shared" ref="F67:AC67" si="40">F43+F44+F45</f>
        <v>-37100.720038550397</v>
      </c>
      <c r="G67" s="16">
        <f t="shared" si="40"/>
        <v>-47181.904861449599</v>
      </c>
      <c r="H67" s="16">
        <f t="shared" si="40"/>
        <v>-47221.73122532</v>
      </c>
      <c r="I67" s="16">
        <f t="shared" si="40"/>
        <v>-27951.345511579999</v>
      </c>
      <c r="J67" s="16">
        <f t="shared" si="40"/>
        <v>-38622.716949679998</v>
      </c>
      <c r="K67" s="16">
        <f t="shared" si="40"/>
        <v>-59212.076135920004</v>
      </c>
      <c r="L67" s="16">
        <f t="shared" si="40"/>
        <v>-43297.008323900001</v>
      </c>
      <c r="M67" s="16">
        <f t="shared" si="40"/>
        <v>-30975.988096519999</v>
      </c>
      <c r="N67" s="16">
        <f t="shared" si="40"/>
        <v>-71401.201606319999</v>
      </c>
      <c r="O67" s="16">
        <f t="shared" si="40"/>
        <v>-79932.518950830388</v>
      </c>
      <c r="P67" s="16">
        <f t="shared" si="40"/>
        <v>-65684.559980625607</v>
      </c>
      <c r="Q67" s="16">
        <f t="shared" si="40"/>
        <v>-39437.742417945599</v>
      </c>
      <c r="R67" s="16">
        <f t="shared" si="40"/>
        <v>-33618.997943763839</v>
      </c>
      <c r="S67" s="16">
        <f t="shared" si="40"/>
        <v>-51900.095347594572</v>
      </c>
      <c r="T67" s="16">
        <f t="shared" si="40"/>
        <v>-51943.904347852003</v>
      </c>
      <c r="U67" s="16">
        <f t="shared" si="40"/>
        <v>-30746.480062737999</v>
      </c>
      <c r="V67" s="16">
        <f t="shared" si="40"/>
        <v>-42484.988644648001</v>
      </c>
      <c r="W67" s="16">
        <f t="shared" si="40"/>
        <v>-65133.283749512011</v>
      </c>
      <c r="X67" s="16">
        <f t="shared" si="40"/>
        <v>-47626.70915629001</v>
      </c>
      <c r="Y67" s="16">
        <f t="shared" si="40"/>
        <v>-34073.586906172008</v>
      </c>
      <c r="Z67" s="16">
        <f t="shared" si="40"/>
        <v>-78541.321766952009</v>
      </c>
      <c r="AA67" s="16">
        <f t="shared" si="40"/>
        <v>-87925.77084591343</v>
      </c>
      <c r="AB67" s="16">
        <f t="shared" si="40"/>
        <v>-72253.01597868817</v>
      </c>
      <c r="AC67" s="17">
        <f t="shared" si="40"/>
        <v>0</v>
      </c>
      <c r="AD67" s="10">
        <f t="shared" si="39"/>
        <v>-1184267.6688487658</v>
      </c>
    </row>
    <row r="68" spans="2:30" x14ac:dyDescent="0.25">
      <c r="C68" s="53" t="s">
        <v>9</v>
      </c>
      <c r="D68" s="16"/>
      <c r="E68" s="16"/>
      <c r="F68" s="16">
        <f t="shared" ref="F68:AC68" si="41">F48+F49</f>
        <v>-24160.321079999998</v>
      </c>
      <c r="G68" s="16">
        <f t="shared" si="41"/>
        <v>-27405</v>
      </c>
      <c r="H68" s="16">
        <f t="shared" si="41"/>
        <v>-28565.754000000001</v>
      </c>
      <c r="I68" s="16">
        <f t="shared" si="41"/>
        <v>-18662.805</v>
      </c>
      <c r="J68" s="16">
        <f t="shared" si="41"/>
        <v>-22830.800999999999</v>
      </c>
      <c r="K68" s="16">
        <f t="shared" si="41"/>
        <v>-34180.125</v>
      </c>
      <c r="L68" s="16">
        <f t="shared" si="41"/>
        <v>-27478.080000000002</v>
      </c>
      <c r="M68" s="16">
        <f t="shared" si="41"/>
        <v>-20088.474000000002</v>
      </c>
      <c r="N68" s="16">
        <f t="shared" si="41"/>
        <v>-40158.678</v>
      </c>
      <c r="O68" s="16">
        <f t="shared" si="41"/>
        <v>-47468.090879999996</v>
      </c>
      <c r="P68" s="16">
        <f t="shared" si="41"/>
        <v>-41062.921199999997</v>
      </c>
      <c r="Q68" s="16">
        <f t="shared" si="41"/>
        <v>-26439.90552</v>
      </c>
      <c r="R68" s="16">
        <f t="shared" si="41"/>
        <v>-26576.353187999997</v>
      </c>
      <c r="S68" s="16">
        <f t="shared" si="41"/>
        <v>-30145.500000000007</v>
      </c>
      <c r="T68" s="16">
        <f t="shared" si="41"/>
        <v>-31422.329400000002</v>
      </c>
      <c r="U68" s="16">
        <f t="shared" si="41"/>
        <v>-20529.085500000001</v>
      </c>
      <c r="V68" s="16">
        <f t="shared" si="41"/>
        <v>-25113.881100000002</v>
      </c>
      <c r="W68" s="16">
        <f t="shared" si="41"/>
        <v>-37598.137500000004</v>
      </c>
      <c r="X68" s="16">
        <f t="shared" si="41"/>
        <v>-30225.888000000006</v>
      </c>
      <c r="Y68" s="16">
        <f t="shared" si="41"/>
        <v>-22097.321400000004</v>
      </c>
      <c r="Z68" s="16">
        <f t="shared" si="41"/>
        <v>-44174.545800000007</v>
      </c>
      <c r="AA68" s="16">
        <f t="shared" si="41"/>
        <v>-52214.899967999998</v>
      </c>
      <c r="AB68" s="16">
        <f t="shared" si="41"/>
        <v>-45169.21332000001</v>
      </c>
      <c r="AC68" s="17">
        <f t="shared" si="41"/>
        <v>-26083.896072</v>
      </c>
      <c r="AD68" s="10">
        <f t="shared" si="39"/>
        <v>-749852.00692800002</v>
      </c>
    </row>
    <row r="69" spans="2:30" x14ac:dyDescent="0.25">
      <c r="C69" s="52" t="s">
        <v>3</v>
      </c>
      <c r="D69" s="16"/>
      <c r="E69" s="16"/>
      <c r="F69" s="16">
        <f>F37</f>
        <v>-5446.9937318840584</v>
      </c>
      <c r="G69" s="16">
        <f t="shared" ref="G69:AC69" si="42">G37</f>
        <v>-8023.602065217392</v>
      </c>
      <c r="H69" s="16">
        <f t="shared" si="42"/>
        <v>-9488.1103985507252</v>
      </c>
      <c r="I69" s="16">
        <f t="shared" si="42"/>
        <v>-14216.485398550727</v>
      </c>
      <c r="J69" s="16">
        <f t="shared" si="42"/>
        <v>-16596.471231884061</v>
      </c>
      <c r="K69" s="16">
        <f t="shared" si="42"/>
        <v>-17581.914565217394</v>
      </c>
      <c r="L69" s="16">
        <f t="shared" si="42"/>
        <v>-18475.092898550727</v>
      </c>
      <c r="M69" s="16">
        <f t="shared" si="42"/>
        <v>-19163.014565217396</v>
      </c>
      <c r="N69" s="16">
        <f t="shared" si="42"/>
        <v>-20513.279565217395</v>
      </c>
      <c r="O69" s="16">
        <f t="shared" si="42"/>
        <v>-21796.376231884064</v>
      </c>
      <c r="P69" s="16">
        <f t="shared" si="42"/>
        <v>-22687.741231884062</v>
      </c>
      <c r="Q69" s="16">
        <f t="shared" si="42"/>
        <v>-23332.752898550727</v>
      </c>
      <c r="R69" s="16">
        <f t="shared" si="42"/>
        <v>-21609.628731884062</v>
      </c>
      <c r="S69" s="16">
        <f t="shared" si="42"/>
        <v>-19033.020398550725</v>
      </c>
      <c r="T69" s="16">
        <f t="shared" si="42"/>
        <v>-17568.512065217394</v>
      </c>
      <c r="U69" s="16">
        <f t="shared" si="42"/>
        <v>-12840.137065217394</v>
      </c>
      <c r="V69" s="16">
        <f t="shared" si="42"/>
        <v>-10460.151231884058</v>
      </c>
      <c r="W69" s="16">
        <f t="shared" si="42"/>
        <v>-9474.7078985507251</v>
      </c>
      <c r="X69" s="16">
        <f t="shared" si="42"/>
        <v>-8581.5295652173918</v>
      </c>
      <c r="Y69" s="16">
        <f t="shared" si="42"/>
        <v>-7893.6078985507247</v>
      </c>
      <c r="Z69" s="16">
        <f t="shared" si="42"/>
        <v>-6543.3428985507253</v>
      </c>
      <c r="AA69" s="16">
        <f t="shared" si="42"/>
        <v>-5260.2462318840589</v>
      </c>
      <c r="AB69" s="16">
        <f t="shared" si="42"/>
        <v>-4368.8812318840583</v>
      </c>
      <c r="AC69" s="17">
        <f t="shared" si="42"/>
        <v>0</v>
      </c>
      <c r="AD69" s="10">
        <f t="shared" si="39"/>
        <v>-320955.60000000009</v>
      </c>
    </row>
    <row r="70" spans="2:30" ht="27.6" x14ac:dyDescent="0.25">
      <c r="C70" s="54" t="s">
        <v>10</v>
      </c>
      <c r="D70" s="16"/>
      <c r="E70" s="16"/>
      <c r="F70" s="22">
        <f>SUM(F67:F69)</f>
        <v>-66708.034850434444</v>
      </c>
      <c r="G70" s="22">
        <f t="shared" ref="G70:AC70" si="43">SUM(G67:G69)</f>
        <v>-82610.506926666989</v>
      </c>
      <c r="H70" s="22">
        <f t="shared" si="43"/>
        <v>-85275.595623870729</v>
      </c>
      <c r="I70" s="22">
        <f t="shared" si="43"/>
        <v>-60830.635910130724</v>
      </c>
      <c r="J70" s="22">
        <f t="shared" si="43"/>
        <v>-78049.989181564059</v>
      </c>
      <c r="K70" s="22">
        <f t="shared" si="43"/>
        <v>-110974.1157011374</v>
      </c>
      <c r="L70" s="22">
        <f t="shared" si="43"/>
        <v>-89250.181222450745</v>
      </c>
      <c r="M70" s="22">
        <f t="shared" si="43"/>
        <v>-70227.476661737397</v>
      </c>
      <c r="N70" s="22">
        <f t="shared" si="43"/>
        <v>-132073.15917153738</v>
      </c>
      <c r="O70" s="22">
        <f t="shared" si="43"/>
        <v>-149196.98606271445</v>
      </c>
      <c r="P70" s="22">
        <f t="shared" si="43"/>
        <v>-129435.22241250967</v>
      </c>
      <c r="Q70" s="22">
        <f t="shared" si="43"/>
        <v>-89210.400836496323</v>
      </c>
      <c r="R70" s="22">
        <f t="shared" si="43"/>
        <v>-81804.979863647895</v>
      </c>
      <c r="S70" s="22">
        <f t="shared" si="43"/>
        <v>-101078.61574614531</v>
      </c>
      <c r="T70" s="22">
        <f t="shared" si="43"/>
        <v>-100934.7458130694</v>
      </c>
      <c r="U70" s="22">
        <f t="shared" si="43"/>
        <v>-64115.702627955397</v>
      </c>
      <c r="V70" s="22">
        <f t="shared" si="43"/>
        <v>-78059.020976532061</v>
      </c>
      <c r="W70" s="22">
        <f t="shared" si="43"/>
        <v>-112206.12914806274</v>
      </c>
      <c r="X70" s="22">
        <f t="shared" si="43"/>
        <v>-86434.126721507419</v>
      </c>
      <c r="Y70" s="22">
        <f t="shared" si="43"/>
        <v>-64064.516204722742</v>
      </c>
      <c r="Z70" s="22">
        <f t="shared" si="43"/>
        <v>-129259.21046550274</v>
      </c>
      <c r="AA70" s="22">
        <f t="shared" si="43"/>
        <v>-145400.91704579748</v>
      </c>
      <c r="AB70" s="22">
        <f t="shared" si="43"/>
        <v>-121791.11053057224</v>
      </c>
      <c r="AC70" s="23">
        <f t="shared" si="43"/>
        <v>-26083.896072</v>
      </c>
      <c r="AD70" s="10">
        <f t="shared" si="39"/>
        <v>-2255075.2757767658</v>
      </c>
    </row>
    <row r="71" spans="2:30" x14ac:dyDescent="0.25">
      <c r="C71" s="55"/>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7"/>
      <c r="AD71" s="10">
        <f t="shared" si="39"/>
        <v>0</v>
      </c>
    </row>
    <row r="72" spans="2:30" x14ac:dyDescent="0.25">
      <c r="C72" s="32" t="s">
        <v>42</v>
      </c>
      <c r="D72" s="18"/>
      <c r="E72" s="18"/>
      <c r="F72" s="24">
        <f>F65+F70</f>
        <v>-32245.551517101107</v>
      </c>
      <c r="G72" s="24">
        <f t="shared" ref="G72:AC72" si="44">G65+G70</f>
        <v>3384.1430733330199</v>
      </c>
      <c r="H72" s="24">
        <f t="shared" si="44"/>
        <v>30009.221042795965</v>
      </c>
      <c r="I72" s="24">
        <f t="shared" si="44"/>
        <v>149021.68075653596</v>
      </c>
      <c r="J72" s="24">
        <f t="shared" si="44"/>
        <v>179402.04415176931</v>
      </c>
      <c r="K72" s="24">
        <f t="shared" si="44"/>
        <v>166186.78429886262</v>
      </c>
      <c r="L72" s="24">
        <f t="shared" si="44"/>
        <v>205774.28544421593</v>
      </c>
      <c r="M72" s="24">
        <f t="shared" si="44"/>
        <v>238555.42333826263</v>
      </c>
      <c r="N72" s="24">
        <f t="shared" si="44"/>
        <v>203715.04082846263</v>
      </c>
      <c r="O72" s="24">
        <f t="shared" si="44"/>
        <v>212253.14727061891</v>
      </c>
      <c r="P72" s="24">
        <f t="shared" si="44"/>
        <v>249842.21092082368</v>
      </c>
      <c r="Q72" s="24">
        <f t="shared" si="44"/>
        <v>302967.26583017036</v>
      </c>
      <c r="R72" s="24">
        <f t="shared" si="44"/>
        <v>275910.20346968545</v>
      </c>
      <c r="S72" s="24">
        <f t="shared" si="44"/>
        <v>205104.40092052135</v>
      </c>
      <c r="T72" s="24">
        <f t="shared" si="44"/>
        <v>175958.10418693064</v>
      </c>
      <c r="U72" s="24">
        <f t="shared" si="44"/>
        <v>118209.64737204461</v>
      </c>
      <c r="V72" s="24">
        <f t="shared" si="44"/>
        <v>56666.612356801299</v>
      </c>
      <c r="W72" s="24">
        <f t="shared" si="44"/>
        <v>2810.6375186039368</v>
      </c>
      <c r="X72" s="24">
        <f t="shared" si="44"/>
        <v>10719.073278492593</v>
      </c>
      <c r="Y72" s="24">
        <f t="shared" si="44"/>
        <v>19330.250461943935</v>
      </c>
      <c r="Z72" s="24">
        <f t="shared" si="44"/>
        <v>-72869.743798836062</v>
      </c>
      <c r="AA72" s="24">
        <f t="shared" si="44"/>
        <v>-114673.38371246414</v>
      </c>
      <c r="AB72" s="24">
        <f t="shared" si="44"/>
        <v>-108890.87719723891</v>
      </c>
      <c r="AC72" s="25">
        <f t="shared" si="44"/>
        <v>-26083.896072</v>
      </c>
      <c r="AD72" s="10">
        <f t="shared" si="39"/>
        <v>2451056.7242232352</v>
      </c>
    </row>
    <row r="74" spans="2:30" x14ac:dyDescent="0.25">
      <c r="B74" s="11"/>
    </row>
    <row r="75" spans="2:30" x14ac:dyDescent="0.25">
      <c r="B75" s="11"/>
    </row>
    <row r="77" spans="2:30" x14ac:dyDescent="0.25">
      <c r="C77" s="21" t="s">
        <v>44</v>
      </c>
      <c r="D77" s="21"/>
      <c r="E77" s="21" t="s">
        <v>46</v>
      </c>
      <c r="F77" s="21" t="s">
        <v>47</v>
      </c>
      <c r="G77" s="21" t="s">
        <v>1</v>
      </c>
    </row>
    <row r="78" spans="2:30" x14ac:dyDescent="0.25">
      <c r="C78" s="57" t="s">
        <v>48</v>
      </c>
      <c r="D78" s="14"/>
      <c r="E78" s="14"/>
      <c r="F78" s="14"/>
      <c r="G78" s="15"/>
    </row>
    <row r="79" spans="2:30" ht="27.6" x14ac:dyDescent="0.25">
      <c r="C79" s="58" t="s">
        <v>49</v>
      </c>
      <c r="D79" s="18"/>
      <c r="E79" s="59" t="s">
        <v>50</v>
      </c>
      <c r="F79" s="18" t="s">
        <v>51</v>
      </c>
      <c r="G79" s="19">
        <f>E36</f>
        <v>85649</v>
      </c>
    </row>
    <row r="80" spans="2:30" x14ac:dyDescent="0.25">
      <c r="C80" s="26"/>
      <c r="E80" s="26"/>
    </row>
    <row r="81" spans="2:25" x14ac:dyDescent="0.25">
      <c r="C81" s="57" t="s">
        <v>54</v>
      </c>
      <c r="D81" s="14"/>
      <c r="E81" s="14"/>
      <c r="F81" s="14"/>
      <c r="G81" s="15"/>
    </row>
    <row r="82" spans="2:25" x14ac:dyDescent="0.25">
      <c r="C82" s="70" t="s">
        <v>45</v>
      </c>
      <c r="D82" s="16"/>
      <c r="E82" s="16"/>
      <c r="F82" s="16"/>
      <c r="G82" s="17"/>
    </row>
    <row r="83" spans="2:25" x14ac:dyDescent="0.25">
      <c r="C83" s="60" t="s">
        <v>52</v>
      </c>
      <c r="D83" s="18"/>
      <c r="E83" s="18" t="s">
        <v>53</v>
      </c>
      <c r="F83" s="18" t="s">
        <v>50</v>
      </c>
      <c r="G83" s="19">
        <f>E60</f>
        <v>85649</v>
      </c>
    </row>
    <row r="84" spans="2:25" x14ac:dyDescent="0.25">
      <c r="C84" s="57" t="s">
        <v>54</v>
      </c>
      <c r="D84" s="16"/>
      <c r="E84" s="16"/>
      <c r="F84" s="16"/>
      <c r="G84" s="17"/>
    </row>
    <row r="85" spans="2:25" x14ac:dyDescent="0.25">
      <c r="C85" s="33" t="s">
        <v>55</v>
      </c>
      <c r="D85" s="16"/>
      <c r="E85" s="16" t="s">
        <v>51</v>
      </c>
      <c r="F85" s="16" t="s">
        <v>57</v>
      </c>
      <c r="G85" s="17">
        <f>-F59</f>
        <v>265236</v>
      </c>
    </row>
    <row r="86" spans="2:25" x14ac:dyDescent="0.25">
      <c r="C86" s="33" t="s">
        <v>56</v>
      </c>
      <c r="D86" s="16"/>
      <c r="E86" s="16" t="s">
        <v>53</v>
      </c>
      <c r="F86" s="16" t="s">
        <v>51</v>
      </c>
      <c r="G86" s="17">
        <f>F60</f>
        <v>13261.800000000001</v>
      </c>
    </row>
    <row r="87" spans="2:25" x14ac:dyDescent="0.25">
      <c r="B87" s="27"/>
      <c r="C87" s="33" t="s">
        <v>58</v>
      </c>
      <c r="D87" s="16"/>
      <c r="E87" s="16" t="s">
        <v>59</v>
      </c>
      <c r="F87" s="16" t="s">
        <v>53</v>
      </c>
      <c r="G87" s="17">
        <f>-F57</f>
        <v>5446.9937318840584</v>
      </c>
    </row>
    <row r="88" spans="2:25" x14ac:dyDescent="0.25">
      <c r="B88" s="28"/>
      <c r="C88" s="33" t="s">
        <v>60</v>
      </c>
      <c r="D88" s="16"/>
      <c r="E88" s="16" t="s">
        <v>57</v>
      </c>
      <c r="F88" s="16" t="s">
        <v>61</v>
      </c>
      <c r="G88" s="17">
        <f>F55</f>
        <v>34462.483333333337</v>
      </c>
    </row>
    <row r="89" spans="2:25" ht="27.6" x14ac:dyDescent="0.25">
      <c r="C89" s="61" t="s">
        <v>62</v>
      </c>
      <c r="D89" s="16"/>
      <c r="E89" s="16" t="s">
        <v>59</v>
      </c>
      <c r="F89" s="44" t="s">
        <v>70</v>
      </c>
      <c r="G89" s="17">
        <f>-(F43+F44)</f>
        <v>5272.4000385504005</v>
      </c>
    </row>
    <row r="90" spans="2:25" ht="27.6" x14ac:dyDescent="0.25">
      <c r="C90" s="33" t="s">
        <v>63</v>
      </c>
      <c r="D90" s="16"/>
      <c r="E90" s="16" t="s">
        <v>59</v>
      </c>
      <c r="F90" s="44" t="s">
        <v>64</v>
      </c>
      <c r="G90" s="17">
        <f>-F47</f>
        <v>31828.32</v>
      </c>
    </row>
    <row r="91" spans="2:25" ht="41.4" x14ac:dyDescent="0.25">
      <c r="C91" s="33" t="s">
        <v>75</v>
      </c>
      <c r="D91" s="16"/>
      <c r="E91" s="16" t="s">
        <v>59</v>
      </c>
      <c r="F91" s="44" t="s">
        <v>69</v>
      </c>
      <c r="G91" s="17">
        <f>-F48</f>
        <v>14496.192647999998</v>
      </c>
    </row>
    <row r="92" spans="2:25" x14ac:dyDescent="0.25">
      <c r="C92" s="33" t="s">
        <v>65</v>
      </c>
      <c r="D92" s="16"/>
      <c r="E92" s="16" t="s">
        <v>59</v>
      </c>
      <c r="F92" s="44" t="s">
        <v>66</v>
      </c>
      <c r="G92" s="108">
        <f>-F49</f>
        <v>9664.1284319999995</v>
      </c>
    </row>
    <row r="93" spans="2:25" ht="27.6" x14ac:dyDescent="0.25">
      <c r="C93" s="33" t="s">
        <v>65</v>
      </c>
      <c r="D93" s="16"/>
      <c r="E93" s="16" t="s">
        <v>59</v>
      </c>
      <c r="F93" s="62" t="s">
        <v>67</v>
      </c>
      <c r="G93" s="108"/>
    </row>
    <row r="94" spans="2:25" ht="27.6" x14ac:dyDescent="0.25">
      <c r="C94" s="33" t="s">
        <v>65</v>
      </c>
      <c r="D94" s="16"/>
      <c r="E94" s="16" t="s">
        <v>59</v>
      </c>
      <c r="F94" s="62" t="s">
        <v>68</v>
      </c>
      <c r="G94" s="108"/>
    </row>
    <row r="95" spans="2:25" x14ac:dyDescent="0.25">
      <c r="C95" s="60" t="s">
        <v>71</v>
      </c>
      <c r="D95" s="18"/>
      <c r="E95" s="18" t="s">
        <v>72</v>
      </c>
      <c r="F95" s="63" t="s">
        <v>51</v>
      </c>
      <c r="G95" s="64">
        <f>G90+G91+G92</f>
        <v>55988.641079999994</v>
      </c>
      <c r="H95" s="29"/>
      <c r="I95" s="29"/>
      <c r="J95" s="29"/>
      <c r="K95" s="29"/>
      <c r="L95" s="29"/>
      <c r="M95" s="29"/>
      <c r="N95" s="29"/>
      <c r="O95" s="29"/>
      <c r="P95" s="29"/>
      <c r="Q95" s="29"/>
      <c r="R95" s="29"/>
      <c r="S95" s="29"/>
      <c r="T95" s="29"/>
      <c r="U95" s="29"/>
      <c r="V95" s="29"/>
      <c r="W95" s="29"/>
      <c r="X95" s="29"/>
      <c r="Y95" s="29"/>
    </row>
    <row r="96" spans="2:25" x14ac:dyDescent="0.25">
      <c r="F96" s="29"/>
      <c r="G96" s="29"/>
      <c r="H96" s="29"/>
      <c r="I96" s="29"/>
      <c r="J96" s="29"/>
      <c r="K96" s="29"/>
      <c r="L96" s="29"/>
      <c r="M96" s="29"/>
      <c r="N96" s="29"/>
      <c r="O96" s="29"/>
      <c r="P96" s="29"/>
      <c r="Q96" s="29"/>
      <c r="R96" s="29"/>
      <c r="S96" s="29"/>
      <c r="T96" s="29"/>
      <c r="U96" s="29"/>
      <c r="V96" s="29"/>
      <c r="W96" s="29"/>
      <c r="X96" s="29"/>
      <c r="Y96" s="29"/>
    </row>
    <row r="97" spans="2:25" x14ac:dyDescent="0.25">
      <c r="C97" s="57" t="s">
        <v>73</v>
      </c>
      <c r="D97" s="14"/>
      <c r="E97" s="14"/>
      <c r="F97" s="14"/>
      <c r="G97" s="15"/>
    </row>
    <row r="98" spans="2:25" x14ac:dyDescent="0.25">
      <c r="C98" s="33" t="s">
        <v>55</v>
      </c>
      <c r="D98" s="16"/>
      <c r="E98" s="16" t="s">
        <v>51</v>
      </c>
      <c r="F98" s="16" t="s">
        <v>57</v>
      </c>
      <c r="G98" s="17">
        <f>-G35</f>
        <v>741569</v>
      </c>
    </row>
    <row r="99" spans="2:25" x14ac:dyDescent="0.25">
      <c r="C99" s="33" t="s">
        <v>56</v>
      </c>
      <c r="D99" s="16"/>
      <c r="E99" s="16" t="s">
        <v>53</v>
      </c>
      <c r="F99" s="16" t="s">
        <v>51</v>
      </c>
      <c r="G99" s="17">
        <f>G36</f>
        <v>37078.450000000004</v>
      </c>
    </row>
    <row r="100" spans="2:25" x14ac:dyDescent="0.25">
      <c r="C100" s="33" t="s">
        <v>58</v>
      </c>
      <c r="D100" s="16"/>
      <c r="E100" s="16" t="s">
        <v>59</v>
      </c>
      <c r="F100" s="16" t="s">
        <v>53</v>
      </c>
      <c r="G100" s="17">
        <f>-G37</f>
        <v>8023.602065217392</v>
      </c>
    </row>
    <row r="101" spans="2:25" x14ac:dyDescent="0.25">
      <c r="C101" s="33" t="s">
        <v>60</v>
      </c>
      <c r="D101" s="16"/>
      <c r="E101" s="16" t="s">
        <v>57</v>
      </c>
      <c r="F101" s="16" t="s">
        <v>61</v>
      </c>
      <c r="G101" s="17">
        <f>G38</f>
        <v>85994.650000000009</v>
      </c>
    </row>
    <row r="102" spans="2:25" ht="28.8" customHeight="1" x14ac:dyDescent="0.25">
      <c r="C102" s="109" t="s">
        <v>74</v>
      </c>
      <c r="D102" s="16"/>
      <c r="E102" s="44" t="s">
        <v>70</v>
      </c>
      <c r="F102" s="16" t="s">
        <v>59</v>
      </c>
      <c r="G102" s="17">
        <f>G89</f>
        <v>5272.4000385504005</v>
      </c>
    </row>
    <row r="103" spans="2:25" ht="27" customHeight="1" x14ac:dyDescent="0.25">
      <c r="C103" s="109"/>
      <c r="D103" s="16"/>
      <c r="E103" s="16" t="s">
        <v>59</v>
      </c>
      <c r="F103" s="44" t="s">
        <v>70</v>
      </c>
      <c r="G103" s="17">
        <f>G27+G28</f>
        <v>7454.304900000001</v>
      </c>
    </row>
    <row r="104" spans="2:25" ht="27.6" x14ac:dyDescent="0.25">
      <c r="C104" s="33" t="s">
        <v>63</v>
      </c>
      <c r="D104" s="16"/>
      <c r="E104" s="16" t="s">
        <v>59</v>
      </c>
      <c r="F104" s="44" t="s">
        <v>64</v>
      </c>
      <c r="G104" s="17">
        <f>-G45</f>
        <v>45000</v>
      </c>
    </row>
    <row r="105" spans="2:25" ht="41.4" x14ac:dyDescent="0.25">
      <c r="C105" s="33" t="s">
        <v>75</v>
      </c>
      <c r="D105" s="16"/>
      <c r="E105" s="16" t="s">
        <v>59</v>
      </c>
      <c r="F105" s="44" t="s">
        <v>69</v>
      </c>
      <c r="G105" s="17">
        <f>-G48</f>
        <v>16443</v>
      </c>
    </row>
    <row r="106" spans="2:25" x14ac:dyDescent="0.25">
      <c r="C106" s="33" t="s">
        <v>65</v>
      </c>
      <c r="D106" s="16"/>
      <c r="E106" s="16" t="s">
        <v>59</v>
      </c>
      <c r="F106" s="44" t="s">
        <v>66</v>
      </c>
      <c r="G106" s="108">
        <f>-G49</f>
        <v>10962</v>
      </c>
    </row>
    <row r="107" spans="2:25" ht="27.6" x14ac:dyDescent="0.25">
      <c r="B107" s="21"/>
      <c r="C107" s="33" t="s">
        <v>65</v>
      </c>
      <c r="D107" s="22"/>
      <c r="E107" s="16" t="s">
        <v>59</v>
      </c>
      <c r="F107" s="62" t="s">
        <v>67</v>
      </c>
      <c r="G107" s="108"/>
      <c r="H107" s="21"/>
      <c r="I107" s="21"/>
      <c r="J107" s="21"/>
      <c r="K107" s="21"/>
      <c r="L107" s="21"/>
      <c r="M107" s="21"/>
      <c r="N107" s="21"/>
      <c r="O107" s="21"/>
      <c r="P107" s="21"/>
      <c r="Q107" s="21"/>
      <c r="R107" s="21"/>
      <c r="S107" s="21"/>
      <c r="T107" s="21"/>
      <c r="U107" s="21"/>
      <c r="V107" s="21"/>
      <c r="W107" s="21"/>
      <c r="X107" s="21"/>
      <c r="Y107" s="21"/>
    </row>
    <row r="108" spans="2:25" ht="27.6" x14ac:dyDescent="0.25">
      <c r="C108" s="33" t="s">
        <v>65</v>
      </c>
      <c r="D108" s="16"/>
      <c r="E108" s="16" t="s">
        <v>59</v>
      </c>
      <c r="F108" s="62" t="s">
        <v>68</v>
      </c>
      <c r="G108" s="108"/>
    </row>
    <row r="109" spans="2:25" x14ac:dyDescent="0.25">
      <c r="C109" s="60" t="s">
        <v>71</v>
      </c>
      <c r="D109" s="18"/>
      <c r="E109" s="18" t="s">
        <v>72</v>
      </c>
      <c r="F109" s="63" t="s">
        <v>51</v>
      </c>
      <c r="G109" s="19">
        <f>G104+G105+G106</f>
        <v>72405</v>
      </c>
    </row>
    <row r="114" spans="2:25" x14ac:dyDescent="0.25">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row>
    <row r="115" spans="2:25" x14ac:dyDescent="0.25">
      <c r="C115" s="20"/>
    </row>
    <row r="116" spans="2:25" x14ac:dyDescent="0.25">
      <c r="C116" s="20"/>
    </row>
    <row r="117" spans="2:25" x14ac:dyDescent="0.25">
      <c r="C117" s="20"/>
    </row>
    <row r="118" spans="2:25" x14ac:dyDescent="0.25">
      <c r="C118" s="20"/>
    </row>
  </sheetData>
  <mergeCells count="3">
    <mergeCell ref="G92:G94"/>
    <mergeCell ref="C102:C103"/>
    <mergeCell ref="G106:G108"/>
  </mergeCells>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13"/>
  <sheetViews>
    <sheetView workbookViewId="0">
      <pane ySplit="5" topLeftCell="A37" activePane="bottomLeft" state="frozen"/>
      <selection pane="bottomLeft" activeCell="C46" sqref="C46"/>
    </sheetView>
  </sheetViews>
  <sheetFormatPr defaultColWidth="9.109375" defaultRowHeight="13.8" x14ac:dyDescent="0.25"/>
  <cols>
    <col min="1" max="1" width="4.109375" style="10" customWidth="1"/>
    <col min="2" max="2" width="4.5546875" style="10" customWidth="1"/>
    <col min="3" max="3" width="47.5546875" style="10" customWidth="1"/>
    <col min="4" max="4" width="1.33203125" style="10" customWidth="1"/>
    <col min="5" max="5" width="19.88671875" style="10" customWidth="1"/>
    <col min="6" max="6" width="19.6640625" style="10" customWidth="1"/>
    <col min="7" max="7" width="11.6640625" style="10" customWidth="1"/>
    <col min="8" max="8" width="13.33203125" style="10" customWidth="1"/>
    <col min="9" max="9" width="11.6640625" style="10" customWidth="1"/>
    <col min="10" max="10" width="12.88671875" style="10" customWidth="1"/>
    <col min="11" max="11" width="10.44140625" style="10" bestFit="1" customWidth="1"/>
    <col min="12" max="12" width="10.77734375" style="10" bestFit="1" customWidth="1"/>
    <col min="13" max="13" width="15" style="10" customWidth="1"/>
    <col min="14" max="14" width="10.44140625" style="10" customWidth="1"/>
    <col min="15" max="15" width="10.6640625" style="10" customWidth="1"/>
    <col min="16" max="16384" width="9.109375" style="10"/>
  </cols>
  <sheetData>
    <row r="1" spans="2:14" x14ac:dyDescent="0.25">
      <c r="C1" s="21"/>
    </row>
    <row r="2" spans="2:14" ht="15.6" x14ac:dyDescent="0.3">
      <c r="B2" s="9"/>
    </row>
    <row r="3" spans="2:14" x14ac:dyDescent="0.25">
      <c r="B3" s="11"/>
      <c r="C3" s="21" t="s">
        <v>14</v>
      </c>
      <c r="E3" s="67" t="s">
        <v>93</v>
      </c>
    </row>
    <row r="4" spans="2:14" x14ac:dyDescent="0.25">
      <c r="E4" s="69" t="s">
        <v>80</v>
      </c>
      <c r="F4" s="69" t="s">
        <v>80</v>
      </c>
      <c r="G4" s="69" t="s">
        <v>80</v>
      </c>
      <c r="H4" s="69" t="s">
        <v>80</v>
      </c>
      <c r="I4" s="69" t="s">
        <v>80</v>
      </c>
      <c r="J4" s="69" t="s">
        <v>80</v>
      </c>
      <c r="K4" s="69" t="s">
        <v>80</v>
      </c>
      <c r="L4" s="69" t="s">
        <v>80</v>
      </c>
      <c r="M4" s="69" t="s">
        <v>80</v>
      </c>
    </row>
    <row r="5" spans="2:14" ht="13.2" customHeight="1" x14ac:dyDescent="0.25">
      <c r="E5" s="69">
        <v>0</v>
      </c>
      <c r="F5" s="69">
        <v>1</v>
      </c>
      <c r="G5" s="69">
        <f>F5+1</f>
        <v>2</v>
      </c>
      <c r="H5" s="69">
        <f t="shared" ref="H5:M5" si="0">G5+1</f>
        <v>3</v>
      </c>
      <c r="I5" s="69">
        <f t="shared" si="0"/>
        <v>4</v>
      </c>
      <c r="J5" s="69">
        <f t="shared" si="0"/>
        <v>5</v>
      </c>
      <c r="K5" s="69">
        <f t="shared" si="0"/>
        <v>6</v>
      </c>
      <c r="L5" s="69">
        <f t="shared" si="0"/>
        <v>7</v>
      </c>
      <c r="M5" s="69">
        <f t="shared" si="0"/>
        <v>8</v>
      </c>
      <c r="N5" s="12"/>
    </row>
    <row r="6" spans="2:14" x14ac:dyDescent="0.25">
      <c r="C6" s="10" t="s">
        <v>30</v>
      </c>
      <c r="F6" s="12"/>
      <c r="G6" s="12"/>
      <c r="H6" s="12"/>
      <c r="I6" s="12"/>
      <c r="J6" s="12"/>
      <c r="K6" s="12"/>
      <c r="L6" s="12"/>
      <c r="M6" s="12"/>
      <c r="N6" s="12"/>
    </row>
    <row r="7" spans="2:14" x14ac:dyDescent="0.25">
      <c r="C7" s="10">
        <f>SUM(F7:M7)</f>
        <v>20000</v>
      </c>
      <c r="F7" s="66">
        <v>5000</v>
      </c>
      <c r="G7" s="66">
        <v>5000</v>
      </c>
      <c r="H7" s="68">
        <v>5000</v>
      </c>
      <c r="I7" s="66">
        <v>5000</v>
      </c>
      <c r="J7" s="42"/>
      <c r="K7" s="42"/>
    </row>
    <row r="8" spans="2:14" x14ac:dyDescent="0.25">
      <c r="C8" s="10">
        <f t="shared" ref="C8:C17" si="1">SUM(F8:M8)</f>
        <v>12000</v>
      </c>
      <c r="F8" s="66">
        <v>4000</v>
      </c>
      <c r="G8" s="66">
        <v>4000</v>
      </c>
      <c r="H8" s="66">
        <v>4000</v>
      </c>
    </row>
    <row r="9" spans="2:14" x14ac:dyDescent="0.25">
      <c r="C9" s="10">
        <f t="shared" si="1"/>
        <v>5600</v>
      </c>
      <c r="F9" s="68">
        <v>5600</v>
      </c>
      <c r="G9" s="42"/>
    </row>
    <row r="10" spans="2:14" x14ac:dyDescent="0.25">
      <c r="C10" s="10">
        <f t="shared" si="1"/>
        <v>5600</v>
      </c>
      <c r="G10" s="66">
        <v>5600</v>
      </c>
    </row>
    <row r="11" spans="2:14" x14ac:dyDescent="0.25">
      <c r="C11" s="10">
        <f t="shared" si="1"/>
        <v>5000</v>
      </c>
      <c r="H11" s="68">
        <v>5000</v>
      </c>
      <c r="I11" s="42"/>
      <c r="J11" s="42"/>
      <c r="K11" s="42"/>
      <c r="L11" s="42"/>
    </row>
    <row r="12" spans="2:14" x14ac:dyDescent="0.25">
      <c r="C12" s="10">
        <f t="shared" si="1"/>
        <v>16000</v>
      </c>
      <c r="G12" s="66">
        <v>4000</v>
      </c>
      <c r="H12" s="66">
        <v>4000</v>
      </c>
      <c r="I12" s="66">
        <v>4000</v>
      </c>
      <c r="J12" s="66">
        <v>4000</v>
      </c>
    </row>
    <row r="13" spans="2:14" x14ac:dyDescent="0.25">
      <c r="C13" s="10">
        <f t="shared" si="1"/>
        <v>4000</v>
      </c>
      <c r="H13" s="66">
        <v>4000</v>
      </c>
    </row>
    <row r="14" spans="2:14" x14ac:dyDescent="0.25">
      <c r="C14" s="10">
        <f t="shared" si="1"/>
        <v>7000</v>
      </c>
      <c r="G14" s="66">
        <v>3500</v>
      </c>
      <c r="H14" s="66">
        <v>3500</v>
      </c>
    </row>
    <row r="15" spans="2:14" x14ac:dyDescent="0.25">
      <c r="C15" s="10">
        <f t="shared" si="1"/>
        <v>8000</v>
      </c>
      <c r="F15" s="66">
        <v>4000</v>
      </c>
      <c r="G15" s="66">
        <v>4000</v>
      </c>
    </row>
    <row r="16" spans="2:14" x14ac:dyDescent="0.25">
      <c r="C16" s="10">
        <f t="shared" si="1"/>
        <v>9900</v>
      </c>
      <c r="G16" s="66">
        <v>3300</v>
      </c>
      <c r="H16" s="66">
        <v>3300</v>
      </c>
      <c r="I16" s="66">
        <v>3300</v>
      </c>
    </row>
    <row r="17" spans="3:15" x14ac:dyDescent="0.25">
      <c r="C17" s="10">
        <f t="shared" si="1"/>
        <v>16000</v>
      </c>
      <c r="H17" s="66">
        <v>4000</v>
      </c>
      <c r="I17" s="66">
        <v>4000</v>
      </c>
      <c r="J17" s="66">
        <v>4000</v>
      </c>
      <c r="K17" s="66">
        <v>4000</v>
      </c>
    </row>
    <row r="18" spans="3:15" x14ac:dyDescent="0.25">
      <c r="C18" s="21" t="str">
        <f>"Сума отриманих премій, всього "&amp;SUM(C7:C17)&amp;" грн"</f>
        <v>Сума отриманих премій, всього 109100 грн</v>
      </c>
      <c r="F18" s="10">
        <f>SUM(F7:F17)</f>
        <v>18600</v>
      </c>
      <c r="G18" s="10">
        <f t="shared" ref="G18:M18" si="2">SUM(G7:G17)</f>
        <v>29400</v>
      </c>
      <c r="H18" s="10">
        <f t="shared" si="2"/>
        <v>32800</v>
      </c>
      <c r="I18" s="10">
        <f t="shared" si="2"/>
        <v>16300</v>
      </c>
      <c r="J18" s="10">
        <f t="shared" si="2"/>
        <v>8000</v>
      </c>
      <c r="K18" s="10">
        <f t="shared" si="2"/>
        <v>4000</v>
      </c>
      <c r="L18" s="10">
        <f t="shared" si="2"/>
        <v>0</v>
      </c>
      <c r="M18" s="10">
        <f t="shared" si="2"/>
        <v>0</v>
      </c>
    </row>
    <row r="20" spans="3:15" x14ac:dyDescent="0.25">
      <c r="C20" s="21" t="s">
        <v>14</v>
      </c>
      <c r="F20" s="12"/>
      <c r="G20" s="12"/>
      <c r="H20" s="12"/>
      <c r="I20" s="12"/>
      <c r="J20" s="12"/>
      <c r="K20" s="12"/>
      <c r="L20" s="12"/>
      <c r="M20" s="12"/>
      <c r="N20" s="12"/>
    </row>
    <row r="21" spans="3:15" ht="41.4" x14ac:dyDescent="0.25">
      <c r="C21" s="45" t="s">
        <v>78</v>
      </c>
      <c r="D21" s="14"/>
      <c r="E21" s="14">
        <f>C7+C8+C9+C15</f>
        <v>45600</v>
      </c>
      <c r="F21" s="14"/>
      <c r="G21" s="14">
        <f>C10+C12+C14+C16</f>
        <v>38500</v>
      </c>
      <c r="H21" s="14">
        <f>C11+C13+C17</f>
        <v>25000</v>
      </c>
      <c r="I21" s="14"/>
      <c r="J21" s="14"/>
      <c r="K21" s="14"/>
      <c r="L21" s="14"/>
      <c r="M21" s="15"/>
      <c r="N21" s="16"/>
      <c r="O21" s="10">
        <f>SUM(E21:M21)</f>
        <v>109100</v>
      </c>
    </row>
    <row r="22" spans="3:15" ht="27.6" x14ac:dyDescent="0.25">
      <c r="C22" s="46" t="s">
        <v>13</v>
      </c>
      <c r="D22" s="16"/>
      <c r="E22" s="16">
        <f>E21*0.05</f>
        <v>2280</v>
      </c>
      <c r="F22" s="16"/>
      <c r="G22" s="16">
        <f t="shared" ref="G22:L22" si="3">G21*0.05</f>
        <v>1925</v>
      </c>
      <c r="H22" s="16">
        <f t="shared" si="3"/>
        <v>1250</v>
      </c>
      <c r="I22" s="16">
        <f t="shared" si="3"/>
        <v>0</v>
      </c>
      <c r="J22" s="16">
        <f t="shared" si="3"/>
        <v>0</v>
      </c>
      <c r="K22" s="16">
        <f t="shared" si="3"/>
        <v>0</v>
      </c>
      <c r="L22" s="16">
        <f t="shared" si="3"/>
        <v>0</v>
      </c>
      <c r="M22" s="17">
        <v>0</v>
      </c>
      <c r="N22" s="16"/>
      <c r="O22" s="10">
        <f t="shared" ref="O22:O23" si="4">SUM(E22:M22)</f>
        <v>5455</v>
      </c>
    </row>
    <row r="23" spans="3:15" x14ac:dyDescent="0.25">
      <c r="C23" s="31" t="s">
        <v>4</v>
      </c>
      <c r="D23" s="16"/>
      <c r="E23" s="16">
        <v>5000</v>
      </c>
      <c r="F23" s="16"/>
      <c r="G23" s="16"/>
      <c r="H23" s="16"/>
      <c r="I23" s="16"/>
      <c r="J23" s="16"/>
      <c r="K23" s="16"/>
      <c r="L23" s="16"/>
      <c r="M23" s="17"/>
      <c r="N23" s="16"/>
      <c r="O23" s="10">
        <f t="shared" si="4"/>
        <v>5000</v>
      </c>
    </row>
    <row r="24" spans="3:15" x14ac:dyDescent="0.25">
      <c r="C24" s="31" t="s">
        <v>98</v>
      </c>
      <c r="D24" s="16"/>
      <c r="E24" s="16"/>
      <c r="F24" s="16">
        <v>1000</v>
      </c>
      <c r="G24" s="16">
        <v>1000</v>
      </c>
      <c r="H24" s="16">
        <v>1000</v>
      </c>
      <c r="I24" s="16">
        <v>500</v>
      </c>
      <c r="J24" s="16">
        <v>500</v>
      </c>
      <c r="K24" s="16">
        <v>500</v>
      </c>
      <c r="L24" s="16"/>
      <c r="M24" s="17"/>
      <c r="N24" s="16"/>
    </row>
    <row r="25" spans="3:15" x14ac:dyDescent="0.25">
      <c r="C25" s="31" t="s">
        <v>17</v>
      </c>
      <c r="D25" s="16"/>
      <c r="E25" s="16"/>
      <c r="F25" s="16">
        <v>2500</v>
      </c>
      <c r="G25" s="16">
        <v>8000</v>
      </c>
      <c r="H25" s="16">
        <v>7400</v>
      </c>
      <c r="I25" s="16">
        <v>2300</v>
      </c>
      <c r="J25" s="16">
        <v>4400</v>
      </c>
      <c r="K25" s="16">
        <v>1200</v>
      </c>
      <c r="L25" s="16">
        <v>800</v>
      </c>
      <c r="M25" s="17">
        <v>0</v>
      </c>
      <c r="N25" s="16"/>
      <c r="O25" s="10">
        <f t="shared" ref="O25:O31" si="5">SUM(F25:M25)</f>
        <v>26600</v>
      </c>
    </row>
    <row r="26" spans="3:15" ht="27.6" x14ac:dyDescent="0.25">
      <c r="C26" s="36" t="s">
        <v>18</v>
      </c>
      <c r="D26" s="16"/>
      <c r="E26" s="16"/>
      <c r="F26" s="16">
        <v>9426</v>
      </c>
      <c r="G26" s="16">
        <v>8962</v>
      </c>
      <c r="H26" s="16">
        <v>7132</v>
      </c>
      <c r="I26" s="16">
        <v>5465</v>
      </c>
      <c r="J26" s="16">
        <v>8991</v>
      </c>
      <c r="K26" s="16">
        <v>7035</v>
      </c>
      <c r="L26" s="16">
        <v>5991</v>
      </c>
      <c r="M26" s="17">
        <v>0</v>
      </c>
      <c r="N26" s="16"/>
      <c r="O26" s="10">
        <f t="shared" si="5"/>
        <v>53002</v>
      </c>
    </row>
    <row r="27" spans="3:15" ht="27.6" x14ac:dyDescent="0.25">
      <c r="C27" s="36" t="s">
        <v>27</v>
      </c>
      <c r="D27" s="16"/>
      <c r="E27" s="16"/>
      <c r="F27" s="16">
        <v>700</v>
      </c>
      <c r="G27" s="16">
        <v>900</v>
      </c>
      <c r="H27" s="16">
        <v>4320</v>
      </c>
      <c r="I27" s="16">
        <v>1200</v>
      </c>
      <c r="J27" s="16">
        <v>700</v>
      </c>
      <c r="K27" s="16">
        <v>650</v>
      </c>
      <c r="L27" s="16">
        <v>320</v>
      </c>
      <c r="M27" s="17">
        <v>0</v>
      </c>
      <c r="N27" s="16"/>
      <c r="O27" s="10">
        <f t="shared" si="5"/>
        <v>8790</v>
      </c>
    </row>
    <row r="28" spans="3:15" x14ac:dyDescent="0.25">
      <c r="C28" s="36" t="s">
        <v>16</v>
      </c>
      <c r="D28" s="16"/>
      <c r="E28" s="16"/>
      <c r="F28" s="16">
        <v>91</v>
      </c>
      <c r="G28" s="16">
        <v>117</v>
      </c>
      <c r="H28" s="16">
        <v>562</v>
      </c>
      <c r="I28" s="16">
        <v>156</v>
      </c>
      <c r="J28" s="16">
        <v>91</v>
      </c>
      <c r="K28" s="16">
        <v>85</v>
      </c>
      <c r="L28" s="16">
        <v>42</v>
      </c>
      <c r="M28" s="17">
        <v>0</v>
      </c>
      <c r="N28" s="16"/>
      <c r="O28" s="10">
        <f t="shared" si="5"/>
        <v>1144</v>
      </c>
    </row>
    <row r="29" spans="3:15" x14ac:dyDescent="0.25">
      <c r="C29" s="37" t="s">
        <v>38</v>
      </c>
      <c r="D29" s="16"/>
      <c r="E29" s="16"/>
      <c r="F29" s="16">
        <f>SUM(F30:F31)</f>
        <v>0</v>
      </c>
      <c r="G29" s="16">
        <f t="shared" ref="G29:L29" si="6">SUM(G30:G31)</f>
        <v>6000</v>
      </c>
      <c r="H29" s="16">
        <f t="shared" si="6"/>
        <v>0</v>
      </c>
      <c r="I29" s="16">
        <f t="shared" si="6"/>
        <v>0</v>
      </c>
      <c r="J29" s="16">
        <f t="shared" si="6"/>
        <v>0</v>
      </c>
      <c r="K29" s="16">
        <f t="shared" si="6"/>
        <v>4000</v>
      </c>
      <c r="L29" s="16">
        <f t="shared" si="6"/>
        <v>200</v>
      </c>
      <c r="M29" s="17">
        <v>0</v>
      </c>
      <c r="N29" s="16"/>
      <c r="O29" s="10">
        <f t="shared" si="5"/>
        <v>10200</v>
      </c>
    </row>
    <row r="30" spans="3:15" ht="27.6" x14ac:dyDescent="0.25">
      <c r="C30" s="36" t="s">
        <v>39</v>
      </c>
      <c r="D30" s="16"/>
      <c r="E30" s="16"/>
      <c r="F30" s="16"/>
      <c r="G30" s="16"/>
      <c r="H30" s="16"/>
      <c r="I30" s="16"/>
      <c r="J30" s="16"/>
      <c r="K30" s="16">
        <v>4000</v>
      </c>
      <c r="L30" s="16">
        <v>200</v>
      </c>
      <c r="M30" s="17"/>
      <c r="N30" s="16"/>
      <c r="O30" s="10">
        <f t="shared" si="5"/>
        <v>4200</v>
      </c>
    </row>
    <row r="31" spans="3:15" x14ac:dyDescent="0.25">
      <c r="C31" s="47" t="s">
        <v>40</v>
      </c>
      <c r="D31" s="18"/>
      <c r="E31" s="18"/>
      <c r="F31" s="18"/>
      <c r="G31" s="18">
        <v>6000</v>
      </c>
      <c r="H31" s="18"/>
      <c r="I31" s="18"/>
      <c r="J31" s="18"/>
      <c r="K31" s="18"/>
      <c r="L31" s="18"/>
      <c r="M31" s="19"/>
      <c r="N31" s="16"/>
      <c r="O31" s="10">
        <f t="shared" si="5"/>
        <v>6000</v>
      </c>
    </row>
    <row r="33" spans="3:15" ht="27.6" x14ac:dyDescent="0.25">
      <c r="C33" s="34" t="s">
        <v>19</v>
      </c>
      <c r="D33" s="16"/>
      <c r="E33" s="16"/>
      <c r="F33" s="16"/>
      <c r="G33" s="16"/>
      <c r="H33" s="16"/>
      <c r="I33" s="16"/>
      <c r="J33" s="16"/>
      <c r="K33" s="16"/>
      <c r="L33" s="16"/>
      <c r="M33" s="16"/>
      <c r="N33" s="16"/>
    </row>
    <row r="34" spans="3:15" x14ac:dyDescent="0.25">
      <c r="C34" s="35" t="s">
        <v>20</v>
      </c>
      <c r="D34" s="14"/>
      <c r="E34" s="14"/>
      <c r="F34" s="14">
        <f>E39</f>
        <v>-45600</v>
      </c>
      <c r="G34" s="14">
        <f t="shared" ref="G34:M34" si="7">F39</f>
        <v>-27000</v>
      </c>
      <c r="H34" s="14">
        <f t="shared" si="7"/>
        <v>-36100</v>
      </c>
      <c r="I34" s="14">
        <f t="shared" si="7"/>
        <v>-28300</v>
      </c>
      <c r="J34" s="14">
        <f t="shared" si="7"/>
        <v>-12000</v>
      </c>
      <c r="K34" s="14">
        <f t="shared" si="7"/>
        <v>-4000</v>
      </c>
      <c r="L34" s="14">
        <f t="shared" si="7"/>
        <v>0</v>
      </c>
      <c r="M34" s="15">
        <f t="shared" si="7"/>
        <v>0</v>
      </c>
      <c r="N34" s="16"/>
    </row>
    <row r="35" spans="3:15" x14ac:dyDescent="0.25">
      <c r="C35" s="30" t="s">
        <v>21</v>
      </c>
      <c r="D35" s="16"/>
      <c r="E35" s="16">
        <f t="shared" ref="E35:M35" si="8">-E21</f>
        <v>-45600</v>
      </c>
      <c r="F35" s="16">
        <f t="shared" si="8"/>
        <v>0</v>
      </c>
      <c r="G35" s="16">
        <f t="shared" si="8"/>
        <v>-38500</v>
      </c>
      <c r="H35" s="16">
        <f t="shared" si="8"/>
        <v>-25000</v>
      </c>
      <c r="I35" s="16">
        <f t="shared" si="8"/>
        <v>0</v>
      </c>
      <c r="J35" s="16">
        <f t="shared" si="8"/>
        <v>0</v>
      </c>
      <c r="K35" s="16">
        <f t="shared" si="8"/>
        <v>0</v>
      </c>
      <c r="L35" s="16">
        <f t="shared" si="8"/>
        <v>0</v>
      </c>
      <c r="M35" s="17">
        <f t="shared" si="8"/>
        <v>0</v>
      </c>
      <c r="N35" s="16"/>
      <c r="O35" s="10">
        <f>SUM(F35:M35)</f>
        <v>-63500</v>
      </c>
    </row>
    <row r="36" spans="3:15" ht="41.4" x14ac:dyDescent="0.25">
      <c r="C36" s="39" t="s">
        <v>94</v>
      </c>
      <c r="D36" s="16"/>
      <c r="E36" s="16"/>
      <c r="F36" s="16"/>
      <c r="G36" s="16"/>
      <c r="H36" s="16"/>
      <c r="I36" s="16"/>
      <c r="J36" s="16"/>
      <c r="K36" s="16"/>
      <c r="L36" s="16"/>
      <c r="M36" s="17"/>
      <c r="N36" s="16"/>
      <c r="O36" s="10">
        <f>SUM(E36:M36)</f>
        <v>0</v>
      </c>
    </row>
    <row r="37" spans="3:15" x14ac:dyDescent="0.25">
      <c r="C37" s="30" t="s">
        <v>3</v>
      </c>
      <c r="D37" s="16"/>
      <c r="E37" s="16"/>
      <c r="F37" s="16"/>
      <c r="G37" s="16"/>
      <c r="H37" s="16"/>
      <c r="I37" s="16"/>
      <c r="J37" s="16"/>
      <c r="K37" s="16"/>
      <c r="L37" s="16"/>
      <c r="M37" s="17"/>
      <c r="N37" s="16"/>
      <c r="O37" s="10">
        <f>SUM(F37:M37)</f>
        <v>0</v>
      </c>
    </row>
    <row r="38" spans="3:15" x14ac:dyDescent="0.25">
      <c r="C38" s="30" t="s">
        <v>22</v>
      </c>
      <c r="D38" s="16"/>
      <c r="E38" s="16"/>
      <c r="F38" s="16">
        <f>F18</f>
        <v>18600</v>
      </c>
      <c r="G38" s="16">
        <f t="shared" ref="G38:L38" si="9">G18</f>
        <v>29400</v>
      </c>
      <c r="H38" s="16">
        <f t="shared" si="9"/>
        <v>32800</v>
      </c>
      <c r="I38" s="16">
        <f t="shared" si="9"/>
        <v>16300</v>
      </c>
      <c r="J38" s="16">
        <f t="shared" si="9"/>
        <v>8000</v>
      </c>
      <c r="K38" s="16">
        <f t="shared" si="9"/>
        <v>4000</v>
      </c>
      <c r="L38" s="16">
        <f t="shared" si="9"/>
        <v>0</v>
      </c>
      <c r="M38" s="17"/>
      <c r="N38" s="16"/>
      <c r="O38" s="10">
        <f>SUM(F38:M38)</f>
        <v>109100</v>
      </c>
    </row>
    <row r="39" spans="3:15" x14ac:dyDescent="0.25">
      <c r="C39" s="38" t="s">
        <v>23</v>
      </c>
      <c r="D39" s="18"/>
      <c r="E39" s="18">
        <f>SUM(E34:E38)</f>
        <v>-45600</v>
      </c>
      <c r="F39" s="18">
        <f>SUM(F34:F38)</f>
        <v>-27000</v>
      </c>
      <c r="G39" s="18">
        <f t="shared" ref="G39:M39" si="10">SUM(G34:G38)</f>
        <v>-36100</v>
      </c>
      <c r="H39" s="18">
        <f t="shared" si="10"/>
        <v>-28300</v>
      </c>
      <c r="I39" s="18">
        <f t="shared" si="10"/>
        <v>-12000</v>
      </c>
      <c r="J39" s="18">
        <f t="shared" si="10"/>
        <v>-4000</v>
      </c>
      <c r="K39" s="18">
        <f t="shared" si="10"/>
        <v>0</v>
      </c>
      <c r="L39" s="18">
        <f t="shared" si="10"/>
        <v>0</v>
      </c>
      <c r="M39" s="19">
        <f t="shared" si="10"/>
        <v>0</v>
      </c>
      <c r="N39" s="16"/>
    </row>
    <row r="41" spans="3:15" x14ac:dyDescent="0.25">
      <c r="C41" s="13" t="s">
        <v>24</v>
      </c>
    </row>
    <row r="42" spans="3:15" x14ac:dyDescent="0.25">
      <c r="C42" s="35" t="s">
        <v>20</v>
      </c>
      <c r="D42" s="14"/>
      <c r="E42" s="14"/>
      <c r="F42" s="14">
        <f t="shared" ref="F42:L42" si="11">E51</f>
        <v>0</v>
      </c>
      <c r="G42" s="14">
        <f t="shared" si="11"/>
        <v>-791</v>
      </c>
      <c r="H42" s="14">
        <f t="shared" si="11"/>
        <v>-1017</v>
      </c>
      <c r="I42" s="14">
        <f t="shared" si="11"/>
        <v>-4882</v>
      </c>
      <c r="J42" s="14">
        <f t="shared" si="11"/>
        <v>-1356</v>
      </c>
      <c r="K42" s="14">
        <f t="shared" si="11"/>
        <v>-791</v>
      </c>
      <c r="L42" s="14">
        <f t="shared" si="11"/>
        <v>-735</v>
      </c>
      <c r="M42" s="15">
        <f>L51</f>
        <v>-362</v>
      </c>
      <c r="N42" s="16"/>
    </row>
    <row r="43" spans="3:15" ht="27.6" x14ac:dyDescent="0.25">
      <c r="C43" s="36" t="s">
        <v>28</v>
      </c>
      <c r="D43" s="16"/>
      <c r="E43" s="16"/>
      <c r="F43" s="16">
        <f>-F27</f>
        <v>-700</v>
      </c>
      <c r="G43" s="16">
        <f t="shared" ref="G43:L44" si="12">F27-G27</f>
        <v>-200</v>
      </c>
      <c r="H43" s="16">
        <f t="shared" si="12"/>
        <v>-3420</v>
      </c>
      <c r="I43" s="16">
        <f t="shared" si="12"/>
        <v>3120</v>
      </c>
      <c r="J43" s="16">
        <f t="shared" si="12"/>
        <v>500</v>
      </c>
      <c r="K43" s="16">
        <f t="shared" si="12"/>
        <v>50</v>
      </c>
      <c r="L43" s="16">
        <f t="shared" si="12"/>
        <v>330</v>
      </c>
      <c r="M43" s="17">
        <f>L27-M27</f>
        <v>320</v>
      </c>
      <c r="N43" s="16"/>
      <c r="O43" s="10">
        <f t="shared" ref="O43:O50" si="13">SUM(F43:M43)</f>
        <v>0</v>
      </c>
    </row>
    <row r="44" spans="3:15" x14ac:dyDescent="0.25">
      <c r="C44" s="36" t="s">
        <v>29</v>
      </c>
      <c r="D44" s="16"/>
      <c r="E44" s="16"/>
      <c r="F44" s="16">
        <f>-F28</f>
        <v>-91</v>
      </c>
      <c r="G44" s="16">
        <f t="shared" si="12"/>
        <v>-26</v>
      </c>
      <c r="H44" s="16">
        <f t="shared" si="12"/>
        <v>-445</v>
      </c>
      <c r="I44" s="16">
        <f t="shared" si="12"/>
        <v>406</v>
      </c>
      <c r="J44" s="16">
        <f t="shared" si="12"/>
        <v>65</v>
      </c>
      <c r="K44" s="16">
        <f t="shared" si="12"/>
        <v>6</v>
      </c>
      <c r="L44" s="16">
        <f t="shared" si="12"/>
        <v>43</v>
      </c>
      <c r="M44" s="17">
        <f>L28-M28</f>
        <v>42</v>
      </c>
      <c r="N44" s="16"/>
      <c r="O44" s="10">
        <f t="shared" si="13"/>
        <v>0</v>
      </c>
    </row>
    <row r="45" spans="3:15" x14ac:dyDescent="0.25">
      <c r="C45" s="31" t="s">
        <v>15</v>
      </c>
      <c r="D45" s="16"/>
      <c r="E45" s="16"/>
      <c r="F45" s="16">
        <f>-F29</f>
        <v>0</v>
      </c>
      <c r="G45" s="16">
        <f t="shared" ref="G45:L47" si="14">-G29</f>
        <v>-6000</v>
      </c>
      <c r="H45" s="16">
        <f t="shared" si="14"/>
        <v>0</v>
      </c>
      <c r="I45" s="16">
        <f t="shared" si="14"/>
        <v>0</v>
      </c>
      <c r="J45" s="16">
        <f t="shared" si="14"/>
        <v>0</v>
      </c>
      <c r="K45" s="16">
        <f t="shared" si="14"/>
        <v>-4000</v>
      </c>
      <c r="L45" s="16">
        <f t="shared" si="14"/>
        <v>-200</v>
      </c>
      <c r="M45" s="17">
        <f>M29</f>
        <v>0</v>
      </c>
      <c r="N45" s="16"/>
      <c r="O45" s="10">
        <f t="shared" si="13"/>
        <v>-10200</v>
      </c>
    </row>
    <row r="46" spans="3:15" ht="27.6" x14ac:dyDescent="0.25">
      <c r="C46" s="36" t="s">
        <v>39</v>
      </c>
      <c r="D46" s="16"/>
      <c r="E46" s="16"/>
      <c r="F46" s="16">
        <f>-F30</f>
        <v>0</v>
      </c>
      <c r="G46" s="16">
        <f t="shared" si="14"/>
        <v>0</v>
      </c>
      <c r="H46" s="16">
        <f t="shared" si="14"/>
        <v>0</v>
      </c>
      <c r="I46" s="16">
        <f t="shared" si="14"/>
        <v>0</v>
      </c>
      <c r="J46" s="16">
        <f t="shared" si="14"/>
        <v>0</v>
      </c>
      <c r="K46" s="16">
        <f t="shared" si="14"/>
        <v>-4000</v>
      </c>
      <c r="L46" s="16">
        <f t="shared" si="14"/>
        <v>-200</v>
      </c>
      <c r="M46" s="17">
        <f>-M30</f>
        <v>0</v>
      </c>
      <c r="N46" s="16"/>
      <c r="O46" s="10">
        <f t="shared" si="13"/>
        <v>-4200</v>
      </c>
    </row>
    <row r="47" spans="3:15" x14ac:dyDescent="0.25">
      <c r="C47" s="36" t="s">
        <v>40</v>
      </c>
      <c r="D47" s="16"/>
      <c r="E47" s="16"/>
      <c r="F47" s="16">
        <f>-F31</f>
        <v>0</v>
      </c>
      <c r="G47" s="16">
        <f t="shared" si="14"/>
        <v>-6000</v>
      </c>
      <c r="H47" s="16">
        <f t="shared" si="14"/>
        <v>0</v>
      </c>
      <c r="I47" s="16">
        <f t="shared" si="14"/>
        <v>0</v>
      </c>
      <c r="J47" s="16">
        <f t="shared" si="14"/>
        <v>0</v>
      </c>
      <c r="K47" s="16">
        <f t="shared" si="14"/>
        <v>0</v>
      </c>
      <c r="L47" s="16">
        <f t="shared" si="14"/>
        <v>0</v>
      </c>
      <c r="M47" s="17">
        <f>-M31</f>
        <v>0</v>
      </c>
      <c r="N47" s="16"/>
      <c r="O47" s="10">
        <f t="shared" si="13"/>
        <v>-6000</v>
      </c>
    </row>
    <row r="48" spans="3:15" x14ac:dyDescent="0.25">
      <c r="C48" s="31" t="s">
        <v>17</v>
      </c>
      <c r="D48" s="16"/>
      <c r="E48" s="16"/>
      <c r="F48" s="16">
        <f t="shared" ref="F48:L48" si="15">-F25</f>
        <v>-2500</v>
      </c>
      <c r="G48" s="16">
        <f t="shared" si="15"/>
        <v>-8000</v>
      </c>
      <c r="H48" s="16">
        <f t="shared" si="15"/>
        <v>-7400</v>
      </c>
      <c r="I48" s="16">
        <f t="shared" si="15"/>
        <v>-2300</v>
      </c>
      <c r="J48" s="16">
        <f t="shared" si="15"/>
        <v>-4400</v>
      </c>
      <c r="K48" s="16">
        <f t="shared" si="15"/>
        <v>-1200</v>
      </c>
      <c r="L48" s="16">
        <f t="shared" si="15"/>
        <v>-800</v>
      </c>
      <c r="M48" s="17">
        <f>-M25</f>
        <v>0</v>
      </c>
      <c r="N48" s="16"/>
      <c r="O48" s="10">
        <f t="shared" si="13"/>
        <v>-26600</v>
      </c>
    </row>
    <row r="49" spans="3:15" ht="27.6" x14ac:dyDescent="0.25">
      <c r="C49" s="36" t="s">
        <v>100</v>
      </c>
      <c r="D49" s="16"/>
      <c r="E49" s="16"/>
      <c r="F49" s="16">
        <f>-F26-F24</f>
        <v>-10426</v>
      </c>
      <c r="G49" s="16">
        <f t="shared" ref="G49:K49" si="16">-G26-G24</f>
        <v>-9962</v>
      </c>
      <c r="H49" s="16">
        <f t="shared" si="16"/>
        <v>-8132</v>
      </c>
      <c r="I49" s="16">
        <f>-I26-I24</f>
        <v>-5965</v>
      </c>
      <c r="J49" s="16">
        <f t="shared" si="16"/>
        <v>-9491</v>
      </c>
      <c r="K49" s="16">
        <f t="shared" si="16"/>
        <v>-7535</v>
      </c>
      <c r="L49" s="16">
        <f>-L26-L24</f>
        <v>-5991</v>
      </c>
      <c r="M49" s="17">
        <f>-M26</f>
        <v>0</v>
      </c>
      <c r="N49" s="16"/>
      <c r="O49" s="10">
        <f t="shared" si="13"/>
        <v>-57502</v>
      </c>
    </row>
    <row r="50" spans="3:15" x14ac:dyDescent="0.25">
      <c r="C50" s="31" t="s">
        <v>25</v>
      </c>
      <c r="D50" s="16"/>
      <c r="E50" s="16"/>
      <c r="F50" s="16">
        <f>-(F45+F48+F49)</f>
        <v>12926</v>
      </c>
      <c r="G50" s="16">
        <f t="shared" ref="G50:L50" si="17">-(G45+G48+G49)</f>
        <v>23962</v>
      </c>
      <c r="H50" s="16">
        <f t="shared" si="17"/>
        <v>15532</v>
      </c>
      <c r="I50" s="16">
        <f t="shared" si="17"/>
        <v>8265</v>
      </c>
      <c r="J50" s="16">
        <f t="shared" si="17"/>
        <v>13891</v>
      </c>
      <c r="K50" s="16">
        <f t="shared" si="17"/>
        <v>12735</v>
      </c>
      <c r="L50" s="16">
        <f t="shared" si="17"/>
        <v>6991</v>
      </c>
      <c r="M50" s="17">
        <f>-(M45+M48+M49)</f>
        <v>0</v>
      </c>
      <c r="N50" s="16"/>
      <c r="O50" s="10">
        <f t="shared" si="13"/>
        <v>94302</v>
      </c>
    </row>
    <row r="51" spans="3:15" x14ac:dyDescent="0.25">
      <c r="C51" s="38" t="s">
        <v>23</v>
      </c>
      <c r="D51" s="18"/>
      <c r="E51" s="18">
        <v>0</v>
      </c>
      <c r="F51" s="18">
        <f>SUM(F42:F45)+SUM(F48:F50)</f>
        <v>-791</v>
      </c>
      <c r="G51" s="18">
        <f t="shared" ref="G51:L51" si="18">SUM(G42:G45)+SUM(G48:G50)</f>
        <v>-1017</v>
      </c>
      <c r="H51" s="18">
        <f t="shared" si="18"/>
        <v>-4882</v>
      </c>
      <c r="I51" s="18">
        <f t="shared" si="18"/>
        <v>-1356</v>
      </c>
      <c r="J51" s="18">
        <f t="shared" si="18"/>
        <v>-791</v>
      </c>
      <c r="K51" s="18">
        <f t="shared" si="18"/>
        <v>-735</v>
      </c>
      <c r="L51" s="18">
        <f t="shared" si="18"/>
        <v>-362</v>
      </c>
      <c r="M51" s="19">
        <f>SUM(M42:M44)</f>
        <v>0</v>
      </c>
      <c r="N51" s="16"/>
    </row>
    <row r="53" spans="3:15" ht="27.6" x14ac:dyDescent="0.25">
      <c r="C53" s="13" t="s">
        <v>5</v>
      </c>
    </row>
    <row r="54" spans="3:15" x14ac:dyDescent="0.25">
      <c r="C54" s="43" t="s">
        <v>6</v>
      </c>
      <c r="D54" s="97"/>
      <c r="E54" s="14"/>
      <c r="F54" s="14">
        <f>E62</f>
        <v>-45600</v>
      </c>
      <c r="G54" s="14">
        <f t="shared" ref="G54:M54" si="19">F62</f>
        <v>-27791</v>
      </c>
      <c r="H54" s="14">
        <f t="shared" si="19"/>
        <v>-37117</v>
      </c>
      <c r="I54" s="14">
        <f t="shared" si="19"/>
        <v>-33182</v>
      </c>
      <c r="J54" s="14">
        <f t="shared" si="19"/>
        <v>-13356</v>
      </c>
      <c r="K54" s="14">
        <f t="shared" si="19"/>
        <v>-4791</v>
      </c>
      <c r="L54" s="14">
        <f t="shared" si="19"/>
        <v>-735</v>
      </c>
      <c r="M54" s="15">
        <f t="shared" si="19"/>
        <v>-362</v>
      </c>
      <c r="N54" s="16">
        <f>M54+M56</f>
        <v>0</v>
      </c>
    </row>
    <row r="55" spans="3:15" x14ac:dyDescent="0.25">
      <c r="C55" s="36" t="s">
        <v>32</v>
      </c>
      <c r="D55" s="33"/>
      <c r="E55" s="16"/>
      <c r="F55" s="16">
        <f t="shared" ref="F55:M55" si="20">F38</f>
        <v>18600</v>
      </c>
      <c r="G55" s="16">
        <f t="shared" si="20"/>
        <v>29400</v>
      </c>
      <c r="H55" s="16">
        <f t="shared" si="20"/>
        <v>32800</v>
      </c>
      <c r="I55" s="16">
        <f t="shared" si="20"/>
        <v>16300</v>
      </c>
      <c r="J55" s="16">
        <f t="shared" si="20"/>
        <v>8000</v>
      </c>
      <c r="K55" s="16">
        <f t="shared" si="20"/>
        <v>4000</v>
      </c>
      <c r="L55" s="16">
        <f t="shared" si="20"/>
        <v>0</v>
      </c>
      <c r="M55" s="17">
        <f t="shared" si="20"/>
        <v>0</v>
      </c>
      <c r="N55" s="16"/>
      <c r="O55" s="10">
        <f>SUM(F55:M55)</f>
        <v>109100</v>
      </c>
    </row>
    <row r="56" spans="3:15" ht="27.6" x14ac:dyDescent="0.25">
      <c r="C56" s="36" t="s">
        <v>33</v>
      </c>
      <c r="D56" s="33"/>
      <c r="E56" s="16"/>
      <c r="F56" s="16">
        <f>F43+F44+F47+F48+F49+F46</f>
        <v>-13717</v>
      </c>
      <c r="G56" s="16">
        <f t="shared" ref="G56:M56" si="21">G43+G44+G47+G48+G49+G46</f>
        <v>-24188</v>
      </c>
      <c r="H56" s="16">
        <f t="shared" si="21"/>
        <v>-19397</v>
      </c>
      <c r="I56" s="16">
        <f t="shared" si="21"/>
        <v>-4739</v>
      </c>
      <c r="J56" s="16">
        <f t="shared" si="21"/>
        <v>-13326</v>
      </c>
      <c r="K56" s="16">
        <f>K43+K44+K47+K48+K49</f>
        <v>-8679</v>
      </c>
      <c r="L56" s="16">
        <f>L43+L44+L47+L48+L49</f>
        <v>-6418</v>
      </c>
      <c r="M56" s="17">
        <f t="shared" si="21"/>
        <v>362</v>
      </c>
      <c r="N56" s="16"/>
      <c r="O56" s="10">
        <f>SUM(F56:M56)</f>
        <v>-90102</v>
      </c>
    </row>
    <row r="57" spans="3:15" ht="27.6" x14ac:dyDescent="0.25">
      <c r="C57" s="36" t="s">
        <v>41</v>
      </c>
      <c r="D57" s="33"/>
      <c r="E57" s="16"/>
      <c r="F57" s="16"/>
      <c r="G57" s="16"/>
      <c r="H57" s="16"/>
      <c r="I57" s="16"/>
      <c r="J57" s="16"/>
      <c r="K57" s="16"/>
      <c r="L57" s="16"/>
      <c r="M57" s="17"/>
      <c r="N57" s="16"/>
      <c r="O57" s="10">
        <f>SUM(F57:M57)</f>
        <v>0</v>
      </c>
    </row>
    <row r="58" spans="3:15" ht="27.6" x14ac:dyDescent="0.25">
      <c r="C58" s="36" t="s">
        <v>34</v>
      </c>
      <c r="D58" s="33"/>
      <c r="E58" s="16"/>
      <c r="F58" s="16"/>
      <c r="G58" s="16"/>
      <c r="H58" s="16"/>
      <c r="I58" s="16"/>
      <c r="J58" s="16"/>
      <c r="K58" s="16">
        <f>K46</f>
        <v>-4000</v>
      </c>
      <c r="L58" s="16">
        <f>L46</f>
        <v>-200</v>
      </c>
      <c r="M58" s="17"/>
      <c r="N58" s="16"/>
      <c r="O58" s="10">
        <f>SUM(F58:M58)</f>
        <v>-4200</v>
      </c>
    </row>
    <row r="59" spans="3:15" ht="27.6" x14ac:dyDescent="0.25">
      <c r="C59" s="36" t="s">
        <v>35</v>
      </c>
      <c r="D59" s="33"/>
      <c r="E59" s="16">
        <f t="shared" ref="E59:M59" si="22">E35</f>
        <v>-45600</v>
      </c>
      <c r="F59" s="16">
        <f t="shared" si="22"/>
        <v>0</v>
      </c>
      <c r="G59" s="16">
        <f t="shared" si="22"/>
        <v>-38500</v>
      </c>
      <c r="H59" s="16">
        <f t="shared" si="22"/>
        <v>-25000</v>
      </c>
      <c r="I59" s="16">
        <f t="shared" si="22"/>
        <v>0</v>
      </c>
      <c r="J59" s="16">
        <f t="shared" si="22"/>
        <v>0</v>
      </c>
      <c r="K59" s="16">
        <f t="shared" si="22"/>
        <v>0</v>
      </c>
      <c r="L59" s="16">
        <f t="shared" si="22"/>
        <v>0</v>
      </c>
      <c r="M59" s="17">
        <f t="shared" si="22"/>
        <v>0</v>
      </c>
      <c r="N59" s="16"/>
      <c r="O59" s="10">
        <f>SUM(E59:M59)</f>
        <v>-109100</v>
      </c>
    </row>
    <row r="60" spans="3:15" ht="27.6" x14ac:dyDescent="0.25">
      <c r="C60" s="36" t="s">
        <v>36</v>
      </c>
      <c r="D60" s="33"/>
      <c r="E60" s="16"/>
      <c r="F60" s="16"/>
      <c r="G60" s="16"/>
      <c r="H60" s="16"/>
      <c r="I60" s="16"/>
      <c r="J60" s="16"/>
      <c r="K60" s="16"/>
      <c r="L60" s="16"/>
      <c r="M60" s="17"/>
      <c r="N60" s="16"/>
      <c r="O60" s="10">
        <f>SUM(E60:M60)</f>
        <v>0</v>
      </c>
    </row>
    <row r="61" spans="3:15" ht="41.4" x14ac:dyDescent="0.25">
      <c r="C61" s="36" t="s">
        <v>37</v>
      </c>
      <c r="D61" s="33"/>
      <c r="E61" s="16"/>
      <c r="F61" s="16">
        <f>F50</f>
        <v>12926</v>
      </c>
      <c r="G61" s="16">
        <f t="shared" ref="G61:M61" si="23">G50</f>
        <v>23962</v>
      </c>
      <c r="H61" s="16">
        <f t="shared" si="23"/>
        <v>15532</v>
      </c>
      <c r="I61" s="16">
        <f t="shared" si="23"/>
        <v>8265</v>
      </c>
      <c r="J61" s="16">
        <f t="shared" si="23"/>
        <v>13891</v>
      </c>
      <c r="K61" s="16">
        <f t="shared" si="23"/>
        <v>12735</v>
      </c>
      <c r="L61" s="16">
        <f t="shared" si="23"/>
        <v>6991</v>
      </c>
      <c r="M61" s="17">
        <f t="shared" si="23"/>
        <v>0</v>
      </c>
      <c r="N61" s="16"/>
      <c r="O61" s="10">
        <f>SUM(F61:M61)</f>
        <v>94302</v>
      </c>
    </row>
    <row r="62" spans="3:15" x14ac:dyDescent="0.25">
      <c r="C62" s="32" t="s">
        <v>7</v>
      </c>
      <c r="D62" s="60"/>
      <c r="E62" s="18">
        <f>SUM(E54:E61)</f>
        <v>-45600</v>
      </c>
      <c r="F62" s="18">
        <f>SUM(F54:F61)</f>
        <v>-27791</v>
      </c>
      <c r="G62" s="18">
        <f t="shared" ref="G62:M62" si="24">SUM(G54:G61)</f>
        <v>-37117</v>
      </c>
      <c r="H62" s="18">
        <f t="shared" si="24"/>
        <v>-33182</v>
      </c>
      <c r="I62" s="18">
        <f t="shared" si="24"/>
        <v>-13356</v>
      </c>
      <c r="J62" s="18">
        <f>SUM(J54:J61)</f>
        <v>-4791</v>
      </c>
      <c r="K62" s="18">
        <f t="shared" si="24"/>
        <v>-735</v>
      </c>
      <c r="L62" s="18">
        <f t="shared" si="24"/>
        <v>-362</v>
      </c>
      <c r="M62" s="19">
        <f t="shared" si="24"/>
        <v>0</v>
      </c>
      <c r="N62" s="16"/>
    </row>
    <row r="63" spans="3:15" x14ac:dyDescent="0.25">
      <c r="C63" s="16"/>
      <c r="D63" s="16"/>
      <c r="E63" s="16"/>
      <c r="F63" s="16"/>
      <c r="G63" s="16"/>
      <c r="H63" s="16"/>
      <c r="I63" s="16"/>
      <c r="J63" s="16"/>
      <c r="K63" s="16"/>
      <c r="L63" s="16"/>
      <c r="M63" s="16"/>
      <c r="N63" s="16"/>
    </row>
    <row r="64" spans="3:15" ht="27.6" x14ac:dyDescent="0.25">
      <c r="C64" s="56" t="s">
        <v>43</v>
      </c>
      <c r="E64" s="18"/>
      <c r="F64" s="18"/>
      <c r="G64" s="18"/>
      <c r="H64" s="18"/>
      <c r="I64" s="18"/>
      <c r="J64" s="18"/>
      <c r="K64" s="18"/>
      <c r="L64" s="18"/>
      <c r="M64" s="18"/>
      <c r="N64" s="16"/>
    </row>
    <row r="65" spans="2:15" x14ac:dyDescent="0.25">
      <c r="C65" s="50" t="s">
        <v>2</v>
      </c>
      <c r="D65" s="14"/>
      <c r="E65" s="14"/>
      <c r="F65" s="48">
        <f>F38</f>
        <v>18600</v>
      </c>
      <c r="G65" s="48">
        <f t="shared" ref="G65:M65" si="25">G38</f>
        <v>29400</v>
      </c>
      <c r="H65" s="48">
        <f t="shared" si="25"/>
        <v>32800</v>
      </c>
      <c r="I65" s="48">
        <f t="shared" si="25"/>
        <v>16300</v>
      </c>
      <c r="J65" s="48">
        <f t="shared" si="25"/>
        <v>8000</v>
      </c>
      <c r="K65" s="48">
        <f t="shared" si="25"/>
        <v>4000</v>
      </c>
      <c r="L65" s="48">
        <f t="shared" si="25"/>
        <v>0</v>
      </c>
      <c r="M65" s="49">
        <f t="shared" si="25"/>
        <v>0</v>
      </c>
      <c r="N65" s="22"/>
      <c r="O65" s="10">
        <f t="shared" ref="O65:O72" si="26">SUM(E65:M65)</f>
        <v>109100</v>
      </c>
    </row>
    <row r="66" spans="2:15" x14ac:dyDescent="0.25">
      <c r="C66" s="51"/>
      <c r="D66" s="16"/>
      <c r="E66" s="16"/>
      <c r="F66" s="22"/>
      <c r="G66" s="16"/>
      <c r="H66" s="16"/>
      <c r="I66" s="16"/>
      <c r="J66" s="16"/>
      <c r="K66" s="16"/>
      <c r="L66" s="16"/>
      <c r="M66" s="17"/>
      <c r="N66" s="16"/>
      <c r="O66" s="10">
        <f t="shared" si="26"/>
        <v>0</v>
      </c>
    </row>
    <row r="67" spans="2:15" x14ac:dyDescent="0.25">
      <c r="C67" s="52" t="s">
        <v>8</v>
      </c>
      <c r="D67" s="16"/>
      <c r="E67" s="16"/>
      <c r="F67" s="16">
        <f>F43+F44+F45</f>
        <v>-791</v>
      </c>
      <c r="G67" s="16">
        <f t="shared" ref="G67:M67" si="27">G43+G44+G45</f>
        <v>-6226</v>
      </c>
      <c r="H67" s="16">
        <f t="shared" si="27"/>
        <v>-3865</v>
      </c>
      <c r="I67" s="16">
        <f t="shared" si="27"/>
        <v>3526</v>
      </c>
      <c r="J67" s="16">
        <f t="shared" si="27"/>
        <v>565</v>
      </c>
      <c r="K67" s="16">
        <f>K43+K44+K45</f>
        <v>-3944</v>
      </c>
      <c r="L67" s="16">
        <f t="shared" si="27"/>
        <v>173</v>
      </c>
      <c r="M67" s="17">
        <f t="shared" si="27"/>
        <v>362</v>
      </c>
      <c r="N67" s="16"/>
      <c r="O67" s="10">
        <f t="shared" si="26"/>
        <v>-10200</v>
      </c>
    </row>
    <row r="68" spans="2:15" x14ac:dyDescent="0.25">
      <c r="C68" s="53" t="s">
        <v>9</v>
      </c>
      <c r="D68" s="16"/>
      <c r="E68" s="16"/>
      <c r="F68" s="16">
        <f>F48+F49</f>
        <v>-12926</v>
      </c>
      <c r="G68" s="16">
        <f t="shared" ref="G68:M68" si="28">G48+G49</f>
        <v>-17962</v>
      </c>
      <c r="H68" s="16">
        <f t="shared" si="28"/>
        <v>-15532</v>
      </c>
      <c r="I68" s="16">
        <f t="shared" si="28"/>
        <v>-8265</v>
      </c>
      <c r="J68" s="16">
        <f t="shared" si="28"/>
        <v>-13891</v>
      </c>
      <c r="K68" s="16">
        <f t="shared" si="28"/>
        <v>-8735</v>
      </c>
      <c r="L68" s="16">
        <f t="shared" si="28"/>
        <v>-6791</v>
      </c>
      <c r="M68" s="17">
        <f t="shared" si="28"/>
        <v>0</v>
      </c>
      <c r="N68" s="16"/>
      <c r="O68" s="10">
        <f t="shared" si="26"/>
        <v>-84102</v>
      </c>
    </row>
    <row r="69" spans="2:15" x14ac:dyDescent="0.25">
      <c r="C69" s="52" t="s">
        <v>3</v>
      </c>
      <c r="D69" s="16"/>
      <c r="E69" s="16"/>
      <c r="F69" s="16">
        <f>-(E22+E23)</f>
        <v>-7280</v>
      </c>
      <c r="G69" s="16">
        <f>-G22</f>
        <v>-1925</v>
      </c>
      <c r="H69" s="16">
        <f t="shared" ref="H69:M69" si="29">-H22</f>
        <v>-1250</v>
      </c>
      <c r="I69" s="16">
        <f t="shared" si="29"/>
        <v>0</v>
      </c>
      <c r="J69" s="16">
        <f t="shared" si="29"/>
        <v>0</v>
      </c>
      <c r="K69" s="16">
        <f t="shared" si="29"/>
        <v>0</v>
      </c>
      <c r="L69" s="16">
        <f t="shared" si="29"/>
        <v>0</v>
      </c>
      <c r="M69" s="17">
        <f t="shared" si="29"/>
        <v>0</v>
      </c>
      <c r="N69" s="16"/>
      <c r="O69" s="10">
        <f t="shared" si="26"/>
        <v>-10455</v>
      </c>
    </row>
    <row r="70" spans="2:15" ht="27.6" x14ac:dyDescent="0.25">
      <c r="C70" s="54" t="s">
        <v>10</v>
      </c>
      <c r="D70" s="16"/>
      <c r="E70" s="16"/>
      <c r="F70" s="22">
        <f>SUM(F67:F69)</f>
        <v>-20997</v>
      </c>
      <c r="G70" s="22">
        <f t="shared" ref="G70:M70" si="30">SUM(G67:G69)</f>
        <v>-26113</v>
      </c>
      <c r="H70" s="22">
        <f t="shared" si="30"/>
        <v>-20647</v>
      </c>
      <c r="I70" s="22">
        <f t="shared" si="30"/>
        <v>-4739</v>
      </c>
      <c r="J70" s="22">
        <f t="shared" si="30"/>
        <v>-13326</v>
      </c>
      <c r="K70" s="22">
        <f t="shared" si="30"/>
        <v>-12679</v>
      </c>
      <c r="L70" s="22">
        <f t="shared" si="30"/>
        <v>-6618</v>
      </c>
      <c r="M70" s="23">
        <f t="shared" si="30"/>
        <v>362</v>
      </c>
      <c r="N70" s="22"/>
      <c r="O70" s="10">
        <f t="shared" si="26"/>
        <v>-104757</v>
      </c>
    </row>
    <row r="71" spans="2:15" x14ac:dyDescent="0.25">
      <c r="C71" s="55"/>
      <c r="D71" s="16"/>
      <c r="E71" s="16"/>
      <c r="F71" s="16"/>
      <c r="G71" s="16"/>
      <c r="H71" s="16"/>
      <c r="I71" s="16"/>
      <c r="J71" s="16"/>
      <c r="K71" s="16"/>
      <c r="L71" s="16"/>
      <c r="M71" s="17"/>
      <c r="N71" s="16"/>
      <c r="O71" s="10">
        <f t="shared" si="26"/>
        <v>0</v>
      </c>
    </row>
    <row r="72" spans="2:15" ht="27.6" x14ac:dyDescent="0.25">
      <c r="C72" s="38" t="s">
        <v>101</v>
      </c>
      <c r="D72" s="18"/>
      <c r="E72" s="18"/>
      <c r="F72" s="24">
        <f>F65+F70</f>
        <v>-2397</v>
      </c>
      <c r="G72" s="24">
        <f t="shared" ref="G72:M72" si="31">G65+G70</f>
        <v>3287</v>
      </c>
      <c r="H72" s="24">
        <f t="shared" si="31"/>
        <v>12153</v>
      </c>
      <c r="I72" s="24">
        <f t="shared" si="31"/>
        <v>11561</v>
      </c>
      <c r="J72" s="24">
        <f t="shared" si="31"/>
        <v>-5326</v>
      </c>
      <c r="K72" s="24">
        <f t="shared" si="31"/>
        <v>-8679</v>
      </c>
      <c r="L72" s="24">
        <f t="shared" si="31"/>
        <v>-6618</v>
      </c>
      <c r="M72" s="25">
        <f t="shared" si="31"/>
        <v>362</v>
      </c>
      <c r="N72" s="22"/>
      <c r="O72" s="10">
        <f t="shared" si="26"/>
        <v>4343</v>
      </c>
    </row>
    <row r="74" spans="2:15" x14ac:dyDescent="0.25">
      <c r="B74" s="11"/>
    </row>
    <row r="75" spans="2:15" x14ac:dyDescent="0.25">
      <c r="B75" s="11"/>
    </row>
    <row r="77" spans="2:15" x14ac:dyDescent="0.25">
      <c r="C77" s="21" t="s">
        <v>44</v>
      </c>
      <c r="D77" s="21"/>
      <c r="E77" s="21" t="s">
        <v>46</v>
      </c>
      <c r="F77" s="21" t="s">
        <v>47</v>
      </c>
      <c r="G77" s="21" t="s">
        <v>1</v>
      </c>
    </row>
    <row r="78" spans="2:15" x14ac:dyDescent="0.25">
      <c r="C78" s="26"/>
      <c r="E78" s="26"/>
    </row>
    <row r="79" spans="2:15" x14ac:dyDescent="0.25">
      <c r="C79" s="57" t="s">
        <v>96</v>
      </c>
      <c r="D79" s="14"/>
      <c r="E79" s="14"/>
      <c r="F79" s="14"/>
      <c r="G79" s="15"/>
    </row>
    <row r="80" spans="2:15" x14ac:dyDescent="0.25">
      <c r="C80" s="57" t="s">
        <v>45</v>
      </c>
      <c r="D80" s="14"/>
      <c r="E80" s="14"/>
      <c r="F80" s="14"/>
      <c r="G80" s="15"/>
    </row>
    <row r="81" spans="2:14" x14ac:dyDescent="0.25">
      <c r="C81" s="33" t="s">
        <v>55</v>
      </c>
      <c r="D81" s="16"/>
      <c r="E81" s="16" t="s">
        <v>51</v>
      </c>
      <c r="F81" s="16" t="s">
        <v>57</v>
      </c>
      <c r="G81" s="17">
        <f>E21</f>
        <v>45600</v>
      </c>
    </row>
    <row r="82" spans="2:14" ht="27.6" x14ac:dyDescent="0.25">
      <c r="C82" s="58" t="s">
        <v>95</v>
      </c>
      <c r="D82" s="18"/>
      <c r="E82" s="18" t="s">
        <v>59</v>
      </c>
      <c r="F82" s="18" t="s">
        <v>51</v>
      </c>
      <c r="G82" s="19">
        <f>E22+E23</f>
        <v>7280</v>
      </c>
    </row>
    <row r="83" spans="2:14" x14ac:dyDescent="0.25">
      <c r="C83" s="57" t="s">
        <v>96</v>
      </c>
      <c r="D83" s="14"/>
      <c r="E83" s="14"/>
      <c r="F83" s="14"/>
      <c r="G83" s="15"/>
    </row>
    <row r="84" spans="2:14" x14ac:dyDescent="0.25">
      <c r="B84" s="28"/>
      <c r="C84" s="33" t="s">
        <v>60</v>
      </c>
      <c r="D84" s="16"/>
      <c r="E84" s="16" t="s">
        <v>57</v>
      </c>
      <c r="F84" s="16" t="s">
        <v>61</v>
      </c>
      <c r="G84" s="17">
        <f>F55</f>
        <v>18600</v>
      </c>
    </row>
    <row r="85" spans="2:14" ht="27.6" x14ac:dyDescent="0.25">
      <c r="C85" s="65" t="s">
        <v>62</v>
      </c>
      <c r="D85" s="16"/>
      <c r="E85" s="16" t="s">
        <v>59</v>
      </c>
      <c r="F85" s="44" t="s">
        <v>70</v>
      </c>
      <c r="G85" s="17">
        <f>-(F43+F44)</f>
        <v>791</v>
      </c>
    </row>
    <row r="86" spans="2:14" ht="41.4" x14ac:dyDescent="0.25">
      <c r="C86" s="33" t="s">
        <v>75</v>
      </c>
      <c r="D86" s="16"/>
      <c r="E86" s="16" t="s">
        <v>59</v>
      </c>
      <c r="F86" s="44" t="s">
        <v>69</v>
      </c>
      <c r="G86" s="17">
        <f>-F48</f>
        <v>2500</v>
      </c>
    </row>
    <row r="87" spans="2:14" x14ac:dyDescent="0.25">
      <c r="C87" s="33" t="s">
        <v>65</v>
      </c>
      <c r="D87" s="16"/>
      <c r="E87" s="16" t="s">
        <v>59</v>
      </c>
      <c r="F87" s="44" t="s">
        <v>66</v>
      </c>
      <c r="G87" s="108">
        <f>-F49</f>
        <v>10426</v>
      </c>
    </row>
    <row r="88" spans="2:14" ht="27.6" x14ac:dyDescent="0.25">
      <c r="C88" s="33" t="s">
        <v>65</v>
      </c>
      <c r="D88" s="16"/>
      <c r="E88" s="16" t="s">
        <v>59</v>
      </c>
      <c r="F88" s="62" t="s">
        <v>67</v>
      </c>
      <c r="G88" s="108"/>
    </row>
    <row r="89" spans="2:14" x14ac:dyDescent="0.25">
      <c r="C89" s="33" t="s">
        <v>65</v>
      </c>
      <c r="D89" s="16"/>
      <c r="E89" s="16" t="s">
        <v>59</v>
      </c>
      <c r="F89" s="62" t="s">
        <v>99</v>
      </c>
      <c r="G89" s="108"/>
    </row>
    <row r="90" spans="2:14" ht="27.6" x14ac:dyDescent="0.25">
      <c r="C90" s="33" t="s">
        <v>65</v>
      </c>
      <c r="D90" s="16"/>
      <c r="E90" s="16" t="s">
        <v>59</v>
      </c>
      <c r="F90" s="62" t="s">
        <v>68</v>
      </c>
      <c r="G90" s="108"/>
    </row>
    <row r="91" spans="2:14" x14ac:dyDescent="0.25">
      <c r="C91" s="60" t="s">
        <v>71</v>
      </c>
      <c r="D91" s="18"/>
      <c r="E91" s="18" t="s">
        <v>72</v>
      </c>
      <c r="F91" s="63" t="s">
        <v>51</v>
      </c>
      <c r="G91" s="64">
        <f>G86+G87</f>
        <v>12926</v>
      </c>
      <c r="H91" s="29"/>
      <c r="I91" s="29"/>
      <c r="J91" s="29"/>
      <c r="K91" s="29"/>
      <c r="L91" s="29"/>
      <c r="M91" s="29"/>
      <c r="N91" s="29"/>
    </row>
    <row r="92" spans="2:14" x14ac:dyDescent="0.25">
      <c r="F92" s="29"/>
      <c r="G92" s="29"/>
      <c r="H92" s="29"/>
      <c r="I92" s="29"/>
      <c r="J92" s="29"/>
      <c r="K92" s="29"/>
      <c r="L92" s="29"/>
      <c r="M92" s="29"/>
      <c r="N92" s="29"/>
    </row>
    <row r="93" spans="2:14" x14ac:dyDescent="0.25">
      <c r="C93" s="57" t="s">
        <v>97</v>
      </c>
      <c r="D93" s="14"/>
      <c r="E93" s="14"/>
      <c r="F93" s="14"/>
      <c r="G93" s="15"/>
    </row>
    <row r="94" spans="2:14" x14ac:dyDescent="0.25">
      <c r="C94" s="33" t="s">
        <v>55</v>
      </c>
      <c r="D94" s="16"/>
      <c r="E94" s="16" t="s">
        <v>51</v>
      </c>
      <c r="F94" s="16" t="s">
        <v>57</v>
      </c>
      <c r="G94" s="17">
        <f>-G35</f>
        <v>38500</v>
      </c>
    </row>
    <row r="95" spans="2:14" x14ac:dyDescent="0.25">
      <c r="C95" s="33" t="s">
        <v>56</v>
      </c>
      <c r="D95" s="16"/>
      <c r="E95" s="16" t="s">
        <v>59</v>
      </c>
      <c r="F95" s="16" t="s">
        <v>51</v>
      </c>
      <c r="G95" s="17">
        <f>G22</f>
        <v>1925</v>
      </c>
    </row>
    <row r="96" spans="2:14" x14ac:dyDescent="0.25">
      <c r="C96" s="33" t="s">
        <v>60</v>
      </c>
      <c r="D96" s="16"/>
      <c r="E96" s="16" t="s">
        <v>57</v>
      </c>
      <c r="F96" s="16" t="s">
        <v>61</v>
      </c>
      <c r="G96" s="17">
        <f>G38</f>
        <v>29400</v>
      </c>
    </row>
    <row r="97" spans="2:14" ht="28.8" customHeight="1" x14ac:dyDescent="0.25">
      <c r="C97" s="109" t="s">
        <v>74</v>
      </c>
      <c r="D97" s="16"/>
      <c r="E97" s="44" t="s">
        <v>70</v>
      </c>
      <c r="F97" s="16" t="s">
        <v>59</v>
      </c>
      <c r="G97" s="17">
        <f>G85</f>
        <v>791</v>
      </c>
    </row>
    <row r="98" spans="2:14" ht="27" customHeight="1" x14ac:dyDescent="0.25">
      <c r="C98" s="109"/>
      <c r="D98" s="16"/>
      <c r="E98" s="16" t="s">
        <v>59</v>
      </c>
      <c r="F98" s="44" t="s">
        <v>70</v>
      </c>
      <c r="G98" s="17">
        <f>G27+G28</f>
        <v>1017</v>
      </c>
    </row>
    <row r="99" spans="2:14" ht="27.6" x14ac:dyDescent="0.25">
      <c r="C99" s="33" t="s">
        <v>63</v>
      </c>
      <c r="D99" s="16"/>
      <c r="E99" s="16" t="s">
        <v>59</v>
      </c>
      <c r="F99" s="44" t="s">
        <v>64</v>
      </c>
      <c r="G99" s="17">
        <f>-G45</f>
        <v>6000</v>
      </c>
    </row>
    <row r="100" spans="2:14" ht="41.4" x14ac:dyDescent="0.25">
      <c r="C100" s="33" t="s">
        <v>75</v>
      </c>
      <c r="D100" s="16"/>
      <c r="E100" s="16" t="s">
        <v>59</v>
      </c>
      <c r="F100" s="44" t="s">
        <v>69</v>
      </c>
      <c r="G100" s="17">
        <f>-G48</f>
        <v>8000</v>
      </c>
    </row>
    <row r="101" spans="2:14" x14ac:dyDescent="0.25">
      <c r="C101" s="33" t="s">
        <v>65</v>
      </c>
      <c r="D101" s="16"/>
      <c r="E101" s="16" t="s">
        <v>59</v>
      </c>
      <c r="F101" s="44" t="s">
        <v>66</v>
      </c>
      <c r="G101" s="108">
        <f>-G49</f>
        <v>9962</v>
      </c>
    </row>
    <row r="102" spans="2:14" ht="27.6" x14ac:dyDescent="0.25">
      <c r="B102" s="21"/>
      <c r="C102" s="33" t="s">
        <v>65</v>
      </c>
      <c r="D102" s="22"/>
      <c r="E102" s="16" t="s">
        <v>59</v>
      </c>
      <c r="F102" s="62" t="s">
        <v>67</v>
      </c>
      <c r="G102" s="108"/>
      <c r="H102" s="21"/>
      <c r="I102" s="21"/>
      <c r="J102" s="21"/>
      <c r="K102" s="21"/>
      <c r="L102" s="21"/>
      <c r="M102" s="21"/>
      <c r="N102" s="21"/>
    </row>
    <row r="103" spans="2:14" ht="27.6" x14ac:dyDescent="0.25">
      <c r="C103" s="33" t="s">
        <v>65</v>
      </c>
      <c r="D103" s="16"/>
      <c r="E103" s="16" t="s">
        <v>59</v>
      </c>
      <c r="F103" s="62" t="s">
        <v>68</v>
      </c>
      <c r="G103" s="108"/>
    </row>
    <row r="104" spans="2:14" x14ac:dyDescent="0.25">
      <c r="C104" s="60" t="s">
        <v>71</v>
      </c>
      <c r="D104" s="18"/>
      <c r="E104" s="18" t="s">
        <v>72</v>
      </c>
      <c r="F104" s="63" t="s">
        <v>51</v>
      </c>
      <c r="G104" s="19">
        <f>G99+G100+G101</f>
        <v>23962</v>
      </c>
    </row>
    <row r="109" spans="2:14" x14ac:dyDescent="0.25">
      <c r="B109" s="21"/>
      <c r="C109" s="21"/>
      <c r="D109" s="21"/>
      <c r="E109" s="21"/>
      <c r="F109" s="21"/>
      <c r="G109" s="21"/>
      <c r="H109" s="21"/>
      <c r="I109" s="21"/>
      <c r="J109" s="21"/>
      <c r="K109" s="21"/>
      <c r="L109" s="21"/>
      <c r="M109" s="21"/>
      <c r="N109" s="21"/>
    </row>
    <row r="110" spans="2:14" x14ac:dyDescent="0.25">
      <c r="C110" s="20"/>
    </row>
    <row r="111" spans="2:14" x14ac:dyDescent="0.25">
      <c r="C111" s="20"/>
    </row>
    <row r="112" spans="2:14" x14ac:dyDescent="0.25">
      <c r="C112" s="20"/>
    </row>
    <row r="113" spans="3:3" x14ac:dyDescent="0.25">
      <c r="C113" s="20"/>
    </row>
  </sheetData>
  <mergeCells count="3">
    <mergeCell ref="G87:G90"/>
    <mergeCell ref="C97:C98"/>
    <mergeCell ref="G101:G103"/>
  </mergeCells>
  <pageMargins left="0.7" right="0.7" top="0.75" bottom="0.75" header="0.3" footer="0.3"/>
  <pageSetup paperSize="9"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113"/>
  <sheetViews>
    <sheetView workbookViewId="0">
      <pane ySplit="5" topLeftCell="A12" activePane="bottomLeft" state="frozen"/>
      <selection pane="bottomLeft" activeCell="G29" sqref="G29"/>
    </sheetView>
  </sheetViews>
  <sheetFormatPr defaultColWidth="9.109375" defaultRowHeight="13.8" x14ac:dyDescent="0.25"/>
  <cols>
    <col min="1" max="1" width="4.109375" style="10" customWidth="1"/>
    <col min="2" max="2" width="4.5546875" style="10" customWidth="1"/>
    <col min="3" max="3" width="47.5546875" style="10" customWidth="1"/>
    <col min="4" max="4" width="1.33203125" style="10" customWidth="1"/>
    <col min="5" max="5" width="19.88671875" style="10" customWidth="1"/>
    <col min="6" max="6" width="19.6640625" style="10" customWidth="1"/>
    <col min="7" max="7" width="11.6640625" style="10" customWidth="1"/>
    <col min="8" max="8" width="13.33203125" style="10" customWidth="1"/>
    <col min="9" max="9" width="11.6640625" style="10" customWidth="1"/>
    <col min="10" max="10" width="12.88671875" style="10" customWidth="1"/>
    <col min="11" max="11" width="10.44140625" style="10" customWidth="1"/>
    <col min="12" max="12" width="10.6640625" style="10" customWidth="1"/>
    <col min="13" max="16384" width="9.109375" style="10"/>
  </cols>
  <sheetData>
    <row r="1" spans="2:11" x14ac:dyDescent="0.25">
      <c r="C1" s="21"/>
    </row>
    <row r="2" spans="2:11" ht="15.6" x14ac:dyDescent="0.3">
      <c r="B2" s="9"/>
    </row>
    <row r="3" spans="2:11" x14ac:dyDescent="0.25">
      <c r="B3" s="11"/>
      <c r="C3" s="21" t="s">
        <v>14</v>
      </c>
      <c r="E3" s="67" t="s">
        <v>93</v>
      </c>
    </row>
    <row r="4" spans="2:11" x14ac:dyDescent="0.25">
      <c r="E4" s="69" t="s">
        <v>80</v>
      </c>
      <c r="F4" s="69" t="s">
        <v>80</v>
      </c>
      <c r="G4" s="69" t="s">
        <v>80</v>
      </c>
      <c r="H4" s="69" t="s">
        <v>80</v>
      </c>
      <c r="I4" s="69" t="s">
        <v>80</v>
      </c>
      <c r="J4" s="69" t="s">
        <v>80</v>
      </c>
    </row>
    <row r="5" spans="2:11" ht="13.2" customHeight="1" x14ac:dyDescent="0.25">
      <c r="E5" s="69" t="s">
        <v>102</v>
      </c>
      <c r="F5" s="69">
        <v>4</v>
      </c>
      <c r="G5" s="69">
        <f>F5+1</f>
        <v>5</v>
      </c>
      <c r="H5" s="69">
        <f t="shared" ref="H5:J5" si="0">G5+1</f>
        <v>6</v>
      </c>
      <c r="I5" s="69">
        <f>H5+1</f>
        <v>7</v>
      </c>
      <c r="J5" s="69">
        <f t="shared" si="0"/>
        <v>8</v>
      </c>
      <c r="K5" s="12"/>
    </row>
    <row r="6" spans="2:11" x14ac:dyDescent="0.25">
      <c r="C6" s="10" t="s">
        <v>30</v>
      </c>
      <c r="F6" s="12"/>
      <c r="G6" s="12"/>
      <c r="H6" s="12"/>
      <c r="I6" s="12"/>
      <c r="J6" s="12"/>
      <c r="K6" s="12"/>
    </row>
    <row r="7" spans="2:11" x14ac:dyDescent="0.25">
      <c r="C7" s="10">
        <f t="shared" ref="C7:C13" si="1">SUM(F7:J7)</f>
        <v>12000</v>
      </c>
      <c r="F7" s="66">
        <v>4000</v>
      </c>
      <c r="G7" s="66">
        <v>4000</v>
      </c>
      <c r="H7" s="68">
        <v>4000</v>
      </c>
      <c r="I7" s="42"/>
    </row>
    <row r="8" spans="2:11" x14ac:dyDescent="0.25">
      <c r="C8" s="10">
        <f t="shared" si="1"/>
        <v>5600</v>
      </c>
      <c r="F8" s="66">
        <v>5600</v>
      </c>
    </row>
    <row r="9" spans="2:11" x14ac:dyDescent="0.25">
      <c r="C9" s="10">
        <f t="shared" si="1"/>
        <v>7000</v>
      </c>
      <c r="F9" s="68">
        <v>3500</v>
      </c>
      <c r="G9" s="66">
        <v>3500</v>
      </c>
      <c r="H9" s="42"/>
      <c r="I9" s="42"/>
    </row>
    <row r="10" spans="2:11" x14ac:dyDescent="0.25">
      <c r="C10" s="10">
        <f t="shared" si="1"/>
        <v>16000</v>
      </c>
      <c r="F10" s="68">
        <v>4000</v>
      </c>
      <c r="G10" s="66">
        <v>4000</v>
      </c>
      <c r="H10" s="66">
        <v>4000</v>
      </c>
      <c r="I10" s="66">
        <v>4000</v>
      </c>
    </row>
    <row r="11" spans="2:11" x14ac:dyDescent="0.25">
      <c r="C11" s="10">
        <f t="shared" si="1"/>
        <v>3500</v>
      </c>
      <c r="F11" s="66">
        <v>3500</v>
      </c>
    </row>
    <row r="12" spans="2:11" x14ac:dyDescent="0.25">
      <c r="C12" s="10">
        <f t="shared" si="1"/>
        <v>7000</v>
      </c>
      <c r="F12" s="66">
        <v>3500</v>
      </c>
      <c r="G12" s="66">
        <v>3500</v>
      </c>
    </row>
    <row r="13" spans="2:11" x14ac:dyDescent="0.25">
      <c r="C13" s="10">
        <f t="shared" si="1"/>
        <v>4000</v>
      </c>
      <c r="F13" s="66">
        <v>4000</v>
      </c>
    </row>
    <row r="14" spans="2:11" x14ac:dyDescent="0.25">
      <c r="C14" s="21" t="str">
        <f>"Сума отриманих премій, всього "&amp;SUM(C7:C13)&amp;" грн"</f>
        <v>Сума отриманих премій, всього 55100 грн</v>
      </c>
      <c r="F14" s="10">
        <f>SUM(F7:F13)</f>
        <v>28100</v>
      </c>
      <c r="G14" s="10">
        <f>SUM(G7:G13)</f>
        <v>15000</v>
      </c>
      <c r="H14" s="10">
        <f>SUM(H7:H13)</f>
        <v>8000</v>
      </c>
      <c r="I14" s="10">
        <f>SUM(I7:I13)</f>
        <v>4000</v>
      </c>
    </row>
    <row r="16" spans="2:11" x14ac:dyDescent="0.25">
      <c r="C16" s="21" t="s">
        <v>14</v>
      </c>
      <c r="F16" s="12"/>
      <c r="G16" s="12"/>
      <c r="H16" s="12"/>
      <c r="I16" s="12"/>
      <c r="J16" s="12"/>
      <c r="K16" s="12"/>
    </row>
    <row r="17" spans="3:12" ht="41.4" x14ac:dyDescent="0.25">
      <c r="C17" s="45" t="s">
        <v>78</v>
      </c>
      <c r="D17" s="97"/>
      <c r="E17" s="14">
        <f>SUM(C7:C13)</f>
        <v>55100</v>
      </c>
      <c r="F17" s="14"/>
      <c r="G17" s="14"/>
      <c r="H17" s="14"/>
      <c r="I17" s="14"/>
      <c r="J17" s="15"/>
      <c r="K17" s="16"/>
      <c r="L17" s="10">
        <f>SUM(E17:J17)</f>
        <v>55100</v>
      </c>
    </row>
    <row r="18" spans="3:12" ht="27.6" x14ac:dyDescent="0.25">
      <c r="C18" s="46" t="s">
        <v>13</v>
      </c>
      <c r="D18" s="33"/>
      <c r="E18" s="16">
        <f>E17*0.05</f>
        <v>2755</v>
      </c>
      <c r="F18" s="16"/>
      <c r="G18" s="16"/>
      <c r="H18" s="16"/>
      <c r="I18" s="16"/>
      <c r="J18" s="17"/>
      <c r="K18" s="16"/>
      <c r="L18" s="10">
        <f>SUM(E18:J18)</f>
        <v>2755</v>
      </c>
    </row>
    <row r="19" spans="3:12" x14ac:dyDescent="0.25">
      <c r="C19" s="31" t="s">
        <v>4</v>
      </c>
      <c r="D19" s="33"/>
      <c r="E19" s="16"/>
      <c r="F19" s="16"/>
      <c r="G19" s="16"/>
      <c r="H19" s="16"/>
      <c r="I19" s="16"/>
      <c r="J19" s="17"/>
      <c r="K19" s="16"/>
      <c r="L19" s="10">
        <f>SUM(E19:J19)</f>
        <v>0</v>
      </c>
    </row>
    <row r="20" spans="3:12" x14ac:dyDescent="0.25">
      <c r="C20" s="31" t="s">
        <v>98</v>
      </c>
      <c r="D20" s="33"/>
      <c r="E20" s="16"/>
      <c r="F20" s="16">
        <v>500</v>
      </c>
      <c r="G20" s="16">
        <v>500</v>
      </c>
      <c r="H20" s="16">
        <v>500</v>
      </c>
      <c r="I20" s="16">
        <v>500</v>
      </c>
      <c r="J20" s="17"/>
      <c r="K20" s="16"/>
    </row>
    <row r="21" spans="3:12" x14ac:dyDescent="0.25">
      <c r="C21" s="31" t="s">
        <v>17</v>
      </c>
      <c r="D21" s="33"/>
      <c r="E21" s="16"/>
      <c r="F21" s="16">
        <v>2800</v>
      </c>
      <c r="G21" s="16">
        <v>7000</v>
      </c>
      <c r="H21" s="16">
        <v>6500</v>
      </c>
      <c r="I21" s="16">
        <v>2500</v>
      </c>
      <c r="J21" s="17"/>
      <c r="K21" s="16"/>
      <c r="L21" s="10">
        <f t="shared" ref="L21:L27" si="2">SUM(F21:J21)</f>
        <v>18800</v>
      </c>
    </row>
    <row r="22" spans="3:12" ht="27.6" x14ac:dyDescent="0.25">
      <c r="C22" s="36" t="s">
        <v>18</v>
      </c>
      <c r="D22" s="33"/>
      <c r="E22" s="16"/>
      <c r="F22" s="16">
        <v>14526</v>
      </c>
      <c r="G22" s="16">
        <v>11132</v>
      </c>
      <c r="H22" s="16">
        <v>3587</v>
      </c>
      <c r="I22" s="16">
        <v>3965</v>
      </c>
      <c r="J22" s="17"/>
      <c r="K22" s="16"/>
      <c r="L22" s="10">
        <f t="shared" si="2"/>
        <v>33210</v>
      </c>
    </row>
    <row r="23" spans="3:12" ht="27.6" x14ac:dyDescent="0.25">
      <c r="C23" s="36" t="s">
        <v>27</v>
      </c>
      <c r="D23" s="33"/>
      <c r="E23" s="16"/>
      <c r="F23" s="16">
        <v>7800</v>
      </c>
      <c r="G23" s="16">
        <v>900</v>
      </c>
      <c r="H23" s="16">
        <v>4320</v>
      </c>
      <c r="I23" s="16">
        <v>350</v>
      </c>
      <c r="J23" s="17"/>
      <c r="K23" s="16"/>
      <c r="L23" s="10">
        <f t="shared" si="2"/>
        <v>13370</v>
      </c>
    </row>
    <row r="24" spans="3:12" x14ac:dyDescent="0.25">
      <c r="C24" s="36" t="s">
        <v>16</v>
      </c>
      <c r="D24" s="33"/>
      <c r="E24" s="16"/>
      <c r="F24" s="16">
        <v>1014</v>
      </c>
      <c r="G24" s="16">
        <v>117</v>
      </c>
      <c r="H24" s="16">
        <v>562</v>
      </c>
      <c r="I24" s="16">
        <v>46</v>
      </c>
      <c r="J24" s="17"/>
      <c r="K24" s="16"/>
      <c r="L24" s="10">
        <f t="shared" si="2"/>
        <v>1739</v>
      </c>
    </row>
    <row r="25" spans="3:12" x14ac:dyDescent="0.25">
      <c r="C25" s="37" t="s">
        <v>38</v>
      </c>
      <c r="D25" s="33"/>
      <c r="E25" s="16"/>
      <c r="F25" s="16">
        <f>F26+F27</f>
        <v>0</v>
      </c>
      <c r="G25" s="16">
        <f t="shared" ref="G25:I25" si="3">G26+G27</f>
        <v>5400</v>
      </c>
      <c r="H25" s="16">
        <f t="shared" si="3"/>
        <v>0</v>
      </c>
      <c r="I25" s="16">
        <f t="shared" si="3"/>
        <v>2300</v>
      </c>
      <c r="J25" s="17"/>
      <c r="K25" s="16"/>
      <c r="L25" s="10">
        <f t="shared" si="2"/>
        <v>7700</v>
      </c>
    </row>
    <row r="26" spans="3:12" ht="27.6" x14ac:dyDescent="0.25">
      <c r="C26" s="36" t="s">
        <v>39</v>
      </c>
      <c r="D26" s="33"/>
      <c r="E26" s="16"/>
      <c r="F26" s="16"/>
      <c r="G26" s="16">
        <v>5400</v>
      </c>
      <c r="H26" s="16"/>
      <c r="I26" s="16"/>
      <c r="J26" s="17"/>
      <c r="K26" s="16"/>
      <c r="L26" s="10">
        <f t="shared" si="2"/>
        <v>5400</v>
      </c>
    </row>
    <row r="27" spans="3:12" x14ac:dyDescent="0.25">
      <c r="C27" s="36" t="s">
        <v>40</v>
      </c>
      <c r="D27" s="33"/>
      <c r="E27" s="16"/>
      <c r="F27" s="16"/>
      <c r="G27" s="16"/>
      <c r="H27" s="16"/>
      <c r="I27" s="16">
        <v>2300</v>
      </c>
      <c r="J27" s="17"/>
      <c r="K27" s="16"/>
      <c r="L27" s="10">
        <f t="shared" si="2"/>
        <v>2300</v>
      </c>
    </row>
    <row r="28" spans="3:12" ht="27.6" x14ac:dyDescent="0.25">
      <c r="C28" s="47" t="s">
        <v>105</v>
      </c>
      <c r="D28" s="60"/>
      <c r="E28" s="18"/>
      <c r="F28" s="18">
        <f>F14/$E$17*$L$28</f>
        <v>4775.9800362976403</v>
      </c>
      <c r="G28" s="18">
        <f>G14/$E$17*$L$28</f>
        <v>2549.4555353901992</v>
      </c>
      <c r="H28" s="18">
        <f t="shared" ref="H28:I28" si="4">H14/$E$17*$L$28</f>
        <v>1359.7096188747732</v>
      </c>
      <c r="I28" s="18">
        <f t="shared" si="4"/>
        <v>679.85480943738662</v>
      </c>
      <c r="J28" s="19"/>
      <c r="K28" s="16"/>
      <c r="L28" s="98">
        <v>9365</v>
      </c>
    </row>
    <row r="29" spans="3:12" x14ac:dyDescent="0.25">
      <c r="C29" s="10" t="s">
        <v>106</v>
      </c>
      <c r="F29" s="16"/>
      <c r="G29" s="16"/>
      <c r="H29" s="16"/>
      <c r="I29" s="16"/>
    </row>
    <row r="30" spans="3:12" ht="27.6" x14ac:dyDescent="0.25">
      <c r="C30" s="34" t="s">
        <v>19</v>
      </c>
      <c r="D30" s="16"/>
      <c r="E30" s="16"/>
      <c r="F30" s="16"/>
      <c r="G30" s="16"/>
      <c r="H30" s="16"/>
      <c r="I30" s="16"/>
      <c r="J30" s="16"/>
      <c r="K30" s="16"/>
    </row>
    <row r="31" spans="3:12" x14ac:dyDescent="0.25">
      <c r="C31" s="35" t="s">
        <v>20</v>
      </c>
      <c r="D31" s="14"/>
      <c r="E31" s="14"/>
      <c r="F31" s="14">
        <f>E37</f>
        <v>-64465</v>
      </c>
      <c r="G31" s="14">
        <f t="shared" ref="G31:J31" si="5">F37</f>
        <v>-31589.019963702362</v>
      </c>
      <c r="H31" s="14">
        <f t="shared" si="5"/>
        <v>-14039.564428312162</v>
      </c>
      <c r="I31" s="14">
        <f>H37</f>
        <v>-4679.8548094373891</v>
      </c>
      <c r="J31" s="15">
        <f t="shared" si="5"/>
        <v>-2.5011104298755527E-12</v>
      </c>
      <c r="K31" s="16"/>
    </row>
    <row r="32" spans="3:12" x14ac:dyDescent="0.25">
      <c r="C32" s="30" t="s">
        <v>21</v>
      </c>
      <c r="D32" s="16"/>
      <c r="E32" s="16">
        <f t="shared" ref="E32:J32" si="6">-E17</f>
        <v>-55100</v>
      </c>
      <c r="F32" s="16">
        <f t="shared" si="6"/>
        <v>0</v>
      </c>
      <c r="G32" s="16">
        <f t="shared" si="6"/>
        <v>0</v>
      </c>
      <c r="H32" s="16">
        <f t="shared" si="6"/>
        <v>0</v>
      </c>
      <c r="I32" s="16">
        <f t="shared" si="6"/>
        <v>0</v>
      </c>
      <c r="J32" s="17">
        <f t="shared" si="6"/>
        <v>0</v>
      </c>
      <c r="K32" s="16"/>
      <c r="L32" s="10">
        <f>SUM(F32:J32)</f>
        <v>0</v>
      </c>
    </row>
    <row r="33" spans="3:12" ht="41.4" x14ac:dyDescent="0.25">
      <c r="C33" s="39" t="s">
        <v>94</v>
      </c>
      <c r="D33" s="16"/>
      <c r="E33" s="16"/>
      <c r="F33" s="16"/>
      <c r="G33" s="16"/>
      <c r="H33" s="16"/>
      <c r="I33" s="16"/>
      <c r="J33" s="17"/>
      <c r="K33" s="16"/>
      <c r="L33" s="10">
        <f>SUM(E33:J33)</f>
        <v>0</v>
      </c>
    </row>
    <row r="34" spans="3:12" x14ac:dyDescent="0.25">
      <c r="C34" s="30" t="s">
        <v>3</v>
      </c>
      <c r="D34" s="16"/>
      <c r="E34" s="16"/>
      <c r="F34" s="16"/>
      <c r="G34" s="16"/>
      <c r="H34" s="16"/>
      <c r="I34" s="16"/>
      <c r="J34" s="17"/>
      <c r="K34" s="16"/>
      <c r="L34" s="10">
        <f>SUM(F34:J34)</f>
        <v>0</v>
      </c>
    </row>
    <row r="35" spans="3:12" x14ac:dyDescent="0.25">
      <c r="C35" s="30" t="s">
        <v>22</v>
      </c>
      <c r="D35" s="16"/>
      <c r="E35" s="16"/>
      <c r="F35" s="16">
        <f>F14</f>
        <v>28100</v>
      </c>
      <c r="G35" s="16">
        <f t="shared" ref="G35:J35" si="7">G14</f>
        <v>15000</v>
      </c>
      <c r="H35" s="16">
        <f t="shared" si="7"/>
        <v>8000</v>
      </c>
      <c r="I35" s="16">
        <f t="shared" si="7"/>
        <v>4000</v>
      </c>
      <c r="J35" s="17">
        <f t="shared" si="7"/>
        <v>0</v>
      </c>
      <c r="K35" s="16"/>
      <c r="L35" s="10">
        <f>SUM(F35:J35)</f>
        <v>55100</v>
      </c>
    </row>
    <row r="36" spans="3:12" x14ac:dyDescent="0.25">
      <c r="C36" s="30" t="s">
        <v>104</v>
      </c>
      <c r="D36" s="16"/>
      <c r="E36" s="16">
        <f>-SUM(F28:I28)</f>
        <v>-9365</v>
      </c>
      <c r="F36" s="16">
        <f>F28</f>
        <v>4775.9800362976403</v>
      </c>
      <c r="G36" s="16">
        <f t="shared" ref="G36:I36" si="8">G28</f>
        <v>2549.4555353901992</v>
      </c>
      <c r="H36" s="16">
        <f t="shared" si="8"/>
        <v>1359.7096188747732</v>
      </c>
      <c r="I36" s="16">
        <f t="shared" si="8"/>
        <v>679.85480943738662</v>
      </c>
      <c r="J36" s="17"/>
      <c r="K36" s="16"/>
      <c r="L36" s="10">
        <f>SUM(E36:J36)</f>
        <v>0</v>
      </c>
    </row>
    <row r="37" spans="3:12" x14ac:dyDescent="0.25">
      <c r="C37" s="38" t="s">
        <v>23</v>
      </c>
      <c r="D37" s="18"/>
      <c r="E37" s="18">
        <f>SUM(E31:E36)</f>
        <v>-64465</v>
      </c>
      <c r="F37" s="18">
        <f t="shared" ref="F37:J37" si="9">SUM(F31:F36)</f>
        <v>-31589.019963702362</v>
      </c>
      <c r="G37" s="18">
        <f t="shared" si="9"/>
        <v>-14039.564428312162</v>
      </c>
      <c r="H37" s="18">
        <f t="shared" si="9"/>
        <v>-4679.8548094373891</v>
      </c>
      <c r="I37" s="18">
        <f t="shared" si="9"/>
        <v>-2.5011104298755527E-12</v>
      </c>
      <c r="J37" s="19">
        <f t="shared" si="9"/>
        <v>-2.5011104298755527E-12</v>
      </c>
      <c r="K37" s="16"/>
    </row>
    <row r="39" spans="3:12" x14ac:dyDescent="0.25">
      <c r="C39" s="13" t="s">
        <v>24</v>
      </c>
    </row>
    <row r="40" spans="3:12" x14ac:dyDescent="0.25">
      <c r="C40" s="35" t="s">
        <v>20</v>
      </c>
      <c r="D40" s="14"/>
      <c r="E40" s="14"/>
      <c r="F40" s="14">
        <f t="shared" ref="F40:J40" si="10">E49</f>
        <v>0</v>
      </c>
      <c r="G40" s="14">
        <f t="shared" si="10"/>
        <v>-8814</v>
      </c>
      <c r="H40" s="14">
        <f t="shared" si="10"/>
        <v>-1017</v>
      </c>
      <c r="I40" s="14">
        <f>H49</f>
        <v>-4882</v>
      </c>
      <c r="J40" s="15">
        <f t="shared" si="10"/>
        <v>-396</v>
      </c>
      <c r="K40" s="16"/>
    </row>
    <row r="41" spans="3:12" ht="27.6" x14ac:dyDescent="0.25">
      <c r="C41" s="36" t="s">
        <v>28</v>
      </c>
      <c r="D41" s="16"/>
      <c r="E41" s="16"/>
      <c r="F41" s="16">
        <f>-F23</f>
        <v>-7800</v>
      </c>
      <c r="G41" s="16">
        <f t="shared" ref="G41:J42" si="11">F23-G23</f>
        <v>6900</v>
      </c>
      <c r="H41" s="16">
        <f t="shared" si="11"/>
        <v>-3420</v>
      </c>
      <c r="I41" s="16">
        <f t="shared" si="11"/>
        <v>3970</v>
      </c>
      <c r="J41" s="17">
        <f t="shared" si="11"/>
        <v>350</v>
      </c>
      <c r="K41" s="16"/>
      <c r="L41" s="10">
        <f t="shared" ref="L41:L48" si="12">SUM(F41:J41)</f>
        <v>0</v>
      </c>
    </row>
    <row r="42" spans="3:12" x14ac:dyDescent="0.25">
      <c r="C42" s="36" t="s">
        <v>29</v>
      </c>
      <c r="D42" s="16"/>
      <c r="E42" s="16"/>
      <c r="F42" s="16">
        <f>-F24</f>
        <v>-1014</v>
      </c>
      <c r="G42" s="16">
        <f t="shared" si="11"/>
        <v>897</v>
      </c>
      <c r="H42" s="16">
        <f t="shared" si="11"/>
        <v>-445</v>
      </c>
      <c r="I42" s="16">
        <f t="shared" si="11"/>
        <v>516</v>
      </c>
      <c r="J42" s="17">
        <f t="shared" si="11"/>
        <v>46</v>
      </c>
      <c r="K42" s="16"/>
      <c r="L42" s="10">
        <f t="shared" si="12"/>
        <v>0</v>
      </c>
    </row>
    <row r="43" spans="3:12" x14ac:dyDescent="0.25">
      <c r="C43" s="31" t="s">
        <v>15</v>
      </c>
      <c r="D43" s="16"/>
      <c r="E43" s="16"/>
      <c r="F43" s="16">
        <f>-F25</f>
        <v>0</v>
      </c>
      <c r="G43" s="16">
        <f t="shared" ref="G43:J45" si="13">-G25</f>
        <v>-5400</v>
      </c>
      <c r="H43" s="16">
        <f t="shared" si="13"/>
        <v>0</v>
      </c>
      <c r="I43" s="16">
        <f t="shared" si="13"/>
        <v>-2300</v>
      </c>
      <c r="J43" s="17">
        <f t="shared" si="13"/>
        <v>0</v>
      </c>
      <c r="K43" s="16"/>
      <c r="L43" s="10">
        <f t="shared" si="12"/>
        <v>-7700</v>
      </c>
    </row>
    <row r="44" spans="3:12" ht="27.6" x14ac:dyDescent="0.25">
      <c r="C44" s="36" t="s">
        <v>39</v>
      </c>
      <c r="D44" s="16"/>
      <c r="E44" s="16"/>
      <c r="F44" s="16">
        <f>-F26</f>
        <v>0</v>
      </c>
      <c r="G44" s="16">
        <f t="shared" si="13"/>
        <v>-5400</v>
      </c>
      <c r="H44" s="16">
        <f t="shared" si="13"/>
        <v>0</v>
      </c>
      <c r="I44" s="16">
        <f t="shared" si="13"/>
        <v>0</v>
      </c>
      <c r="J44" s="17">
        <f t="shared" si="13"/>
        <v>0</v>
      </c>
      <c r="K44" s="16"/>
      <c r="L44" s="10">
        <f t="shared" si="12"/>
        <v>-5400</v>
      </c>
    </row>
    <row r="45" spans="3:12" x14ac:dyDescent="0.25">
      <c r="C45" s="36" t="s">
        <v>40</v>
      </c>
      <c r="D45" s="16"/>
      <c r="E45" s="16"/>
      <c r="F45" s="16">
        <f>-F27</f>
        <v>0</v>
      </c>
      <c r="G45" s="16">
        <f t="shared" si="13"/>
        <v>0</v>
      </c>
      <c r="H45" s="16">
        <f t="shared" si="13"/>
        <v>0</v>
      </c>
      <c r="I45" s="16">
        <f t="shared" si="13"/>
        <v>-2300</v>
      </c>
      <c r="J45" s="17">
        <f t="shared" si="13"/>
        <v>0</v>
      </c>
      <c r="K45" s="16"/>
      <c r="L45" s="10">
        <f t="shared" si="12"/>
        <v>-2300</v>
      </c>
    </row>
    <row r="46" spans="3:12" x14ac:dyDescent="0.25">
      <c r="C46" s="31" t="s">
        <v>17</v>
      </c>
      <c r="D46" s="16"/>
      <c r="E46" s="16"/>
      <c r="F46" s="16">
        <f>-F21</f>
        <v>-2800</v>
      </c>
      <c r="G46" s="16">
        <f>-G21</f>
        <v>-7000</v>
      </c>
      <c r="H46" s="16">
        <f>-H21</f>
        <v>-6500</v>
      </c>
      <c r="I46" s="16">
        <f>-I21</f>
        <v>-2500</v>
      </c>
      <c r="J46" s="17">
        <f>-J21</f>
        <v>0</v>
      </c>
      <c r="K46" s="16"/>
      <c r="L46" s="10">
        <f t="shared" si="12"/>
        <v>-18800</v>
      </c>
    </row>
    <row r="47" spans="3:12" ht="27.6" x14ac:dyDescent="0.25">
      <c r="C47" s="36" t="s">
        <v>100</v>
      </c>
      <c r="D47" s="16"/>
      <c r="E47" s="16"/>
      <c r="F47" s="16">
        <f>-F22-F20</f>
        <v>-15026</v>
      </c>
      <c r="G47" s="16">
        <f t="shared" ref="G47:I47" si="14">-G22-G20</f>
        <v>-11632</v>
      </c>
      <c r="H47" s="16">
        <f t="shared" si="14"/>
        <v>-4087</v>
      </c>
      <c r="I47" s="16">
        <f t="shared" si="14"/>
        <v>-4465</v>
      </c>
      <c r="J47" s="17">
        <f>-J22</f>
        <v>0</v>
      </c>
      <c r="K47" s="16"/>
      <c r="L47" s="10">
        <f t="shared" si="12"/>
        <v>-35210</v>
      </c>
    </row>
    <row r="48" spans="3:12" x14ac:dyDescent="0.25">
      <c r="C48" s="31" t="s">
        <v>25</v>
      </c>
      <c r="D48" s="16"/>
      <c r="E48" s="16"/>
      <c r="F48" s="16">
        <f>-(F43+F46+F47)</f>
        <v>17826</v>
      </c>
      <c r="G48" s="16">
        <f t="shared" ref="G48:J48" si="15">-(G43+G46+G47)</f>
        <v>24032</v>
      </c>
      <c r="H48" s="16">
        <f t="shared" si="15"/>
        <v>10587</v>
      </c>
      <c r="I48" s="16">
        <f t="shared" si="15"/>
        <v>9265</v>
      </c>
      <c r="J48" s="17">
        <f t="shared" si="15"/>
        <v>0</v>
      </c>
      <c r="K48" s="16"/>
      <c r="L48" s="10">
        <f t="shared" si="12"/>
        <v>61710</v>
      </c>
    </row>
    <row r="49" spans="3:12" x14ac:dyDescent="0.25">
      <c r="C49" s="38" t="s">
        <v>23</v>
      </c>
      <c r="D49" s="18"/>
      <c r="E49" s="18">
        <v>0</v>
      </c>
      <c r="F49" s="18">
        <f>SUM(F40:F43)+SUM(F46:F48)</f>
        <v>-8814</v>
      </c>
      <c r="G49" s="18">
        <f t="shared" ref="G49:J49" si="16">SUM(G40:G43)+SUM(G46:G48)</f>
        <v>-1017</v>
      </c>
      <c r="H49" s="18">
        <f t="shared" si="16"/>
        <v>-4882</v>
      </c>
      <c r="I49" s="18">
        <f t="shared" si="16"/>
        <v>-396</v>
      </c>
      <c r="J49" s="19">
        <f t="shared" si="16"/>
        <v>0</v>
      </c>
      <c r="K49" s="16"/>
    </row>
    <row r="51" spans="3:12" ht="27.6" x14ac:dyDescent="0.25">
      <c r="C51" s="13" t="s">
        <v>5</v>
      </c>
    </row>
    <row r="52" spans="3:12" x14ac:dyDescent="0.25">
      <c r="C52" s="43" t="s">
        <v>6</v>
      </c>
      <c r="D52" s="14"/>
      <c r="E52" s="14"/>
      <c r="F52" s="14">
        <f>E60</f>
        <v>-64465</v>
      </c>
      <c r="G52" s="14">
        <f t="shared" ref="G52:J52" si="17">F60</f>
        <v>-40403.019963702362</v>
      </c>
      <c r="H52" s="14">
        <f t="shared" si="17"/>
        <v>-15056.564428312166</v>
      </c>
      <c r="I52" s="14">
        <f>H60</f>
        <v>-9561.8548094373909</v>
      </c>
      <c r="J52" s="15">
        <f t="shared" si="17"/>
        <v>-396.00000000000364</v>
      </c>
      <c r="K52" s="16"/>
    </row>
    <row r="53" spans="3:12" x14ac:dyDescent="0.25">
      <c r="C53" s="36" t="s">
        <v>32</v>
      </c>
      <c r="D53" s="16"/>
      <c r="E53" s="16"/>
      <c r="F53" s="16">
        <f t="shared" ref="F53:J53" si="18">F35</f>
        <v>28100</v>
      </c>
      <c r="G53" s="16">
        <f t="shared" si="18"/>
        <v>15000</v>
      </c>
      <c r="H53" s="16">
        <f t="shared" si="18"/>
        <v>8000</v>
      </c>
      <c r="I53" s="16">
        <f t="shared" si="18"/>
        <v>4000</v>
      </c>
      <c r="J53" s="17">
        <f t="shared" si="18"/>
        <v>0</v>
      </c>
      <c r="K53" s="16"/>
      <c r="L53" s="10">
        <f>SUM(F53:J53)</f>
        <v>55100</v>
      </c>
    </row>
    <row r="54" spans="3:12" ht="27.6" x14ac:dyDescent="0.25">
      <c r="C54" s="36" t="s">
        <v>33</v>
      </c>
      <c r="D54" s="16"/>
      <c r="E54" s="16">
        <f>E36</f>
        <v>-9365</v>
      </c>
      <c r="F54" s="16">
        <f>F41+F42+F45+F46+F47+F36</f>
        <v>-21864.019963702362</v>
      </c>
      <c r="G54" s="16">
        <f>G41+G42+G45+G46+G47+G36</f>
        <v>-8285.5444646098003</v>
      </c>
      <c r="H54" s="16">
        <f>H41+H42+H45+H46+H47+H36</f>
        <v>-13092.290381125227</v>
      </c>
      <c r="I54" s="16">
        <f>I41+I42+I45+I46+I47+I36</f>
        <v>-4099.1451905626136</v>
      </c>
      <c r="J54" s="17">
        <f t="shared" ref="J54" si="19">J41+J42+J45+J46+J47+J36</f>
        <v>396</v>
      </c>
      <c r="K54" s="16"/>
      <c r="L54" s="10">
        <f>SUM(F54:J54)</f>
        <v>-46945.000000000007</v>
      </c>
    </row>
    <row r="55" spans="3:12" ht="27.6" x14ac:dyDescent="0.25">
      <c r="C55" s="36" t="s">
        <v>41</v>
      </c>
      <c r="D55" s="16"/>
      <c r="E55" s="16"/>
      <c r="F55" s="16"/>
      <c r="G55" s="16"/>
      <c r="H55" s="16"/>
      <c r="I55" s="16"/>
      <c r="J55" s="17"/>
      <c r="K55" s="16"/>
      <c r="L55" s="10">
        <f>SUM(F55:J55)</f>
        <v>0</v>
      </c>
    </row>
    <row r="56" spans="3:12" ht="27.6" x14ac:dyDescent="0.25">
      <c r="C56" s="36" t="s">
        <v>34</v>
      </c>
      <c r="D56" s="16"/>
      <c r="E56" s="16"/>
      <c r="F56" s="16"/>
      <c r="G56" s="16">
        <f>G44</f>
        <v>-5400</v>
      </c>
      <c r="H56" s="16"/>
      <c r="I56" s="16"/>
      <c r="J56" s="17"/>
      <c r="K56" s="16"/>
      <c r="L56" s="10">
        <f>SUM(F56:J56)</f>
        <v>-5400</v>
      </c>
    </row>
    <row r="57" spans="3:12" ht="27.6" x14ac:dyDescent="0.25">
      <c r="C57" s="36" t="s">
        <v>35</v>
      </c>
      <c r="D57" s="16"/>
      <c r="E57" s="16">
        <f t="shared" ref="E57:J57" si="20">E32</f>
        <v>-55100</v>
      </c>
      <c r="F57" s="16">
        <f t="shared" si="20"/>
        <v>0</v>
      </c>
      <c r="G57" s="16">
        <f t="shared" si="20"/>
        <v>0</v>
      </c>
      <c r="H57" s="16">
        <f t="shared" si="20"/>
        <v>0</v>
      </c>
      <c r="I57" s="16">
        <f t="shared" si="20"/>
        <v>0</v>
      </c>
      <c r="J57" s="17">
        <f t="shared" si="20"/>
        <v>0</v>
      </c>
      <c r="K57" s="16"/>
      <c r="L57" s="10">
        <f>SUM(E57:J57)</f>
        <v>-55100</v>
      </c>
    </row>
    <row r="58" spans="3:12" ht="27.6" x14ac:dyDescent="0.25">
      <c r="C58" s="36" t="s">
        <v>36</v>
      </c>
      <c r="D58" s="16"/>
      <c r="E58" s="16"/>
      <c r="F58" s="16"/>
      <c r="G58" s="16"/>
      <c r="H58" s="16"/>
      <c r="I58" s="16"/>
      <c r="J58" s="17"/>
      <c r="K58" s="16"/>
      <c r="L58" s="10">
        <f>SUM(E58:J58)</f>
        <v>0</v>
      </c>
    </row>
    <row r="59" spans="3:12" ht="41.4" x14ac:dyDescent="0.25">
      <c r="C59" s="36" t="s">
        <v>37</v>
      </c>
      <c r="D59" s="16"/>
      <c r="E59" s="16"/>
      <c r="F59" s="16">
        <f>F48</f>
        <v>17826</v>
      </c>
      <c r="G59" s="16">
        <f t="shared" ref="G59:J59" si="21">G48</f>
        <v>24032</v>
      </c>
      <c r="H59" s="16">
        <f t="shared" si="21"/>
        <v>10587</v>
      </c>
      <c r="I59" s="16">
        <f t="shared" si="21"/>
        <v>9265</v>
      </c>
      <c r="J59" s="17">
        <f t="shared" si="21"/>
        <v>0</v>
      </c>
      <c r="K59" s="16"/>
      <c r="L59" s="10">
        <f>SUM(F59:J59)</f>
        <v>61710</v>
      </c>
    </row>
    <row r="60" spans="3:12" x14ac:dyDescent="0.25">
      <c r="C60" s="32" t="s">
        <v>7</v>
      </c>
      <c r="D60" s="18"/>
      <c r="E60" s="18">
        <f>SUM(E52:E59)</f>
        <v>-64465</v>
      </c>
      <c r="F60" s="18">
        <f>SUM(F52:F59)</f>
        <v>-40403.019963702362</v>
      </c>
      <c r="G60" s="18">
        <f t="shared" ref="G60:J60" si="22">SUM(G52:G59)</f>
        <v>-15056.564428312166</v>
      </c>
      <c r="H60" s="18">
        <f t="shared" si="22"/>
        <v>-9561.8548094373909</v>
      </c>
      <c r="I60" s="18">
        <f t="shared" si="22"/>
        <v>-396.00000000000364</v>
      </c>
      <c r="J60" s="19">
        <f t="shared" si="22"/>
        <v>-3.637978807091713E-12</v>
      </c>
      <c r="K60" s="16"/>
    </row>
    <row r="61" spans="3:12" x14ac:dyDescent="0.25">
      <c r="C61" s="16"/>
      <c r="D61" s="16"/>
      <c r="E61" s="16"/>
      <c r="F61" s="16"/>
      <c r="G61" s="16"/>
      <c r="H61" s="16"/>
      <c r="I61" s="16"/>
      <c r="J61" s="16"/>
      <c r="K61" s="16"/>
    </row>
    <row r="62" spans="3:12" ht="27.6" x14ac:dyDescent="0.25">
      <c r="C62" s="56" t="s">
        <v>43</v>
      </c>
      <c r="E62" s="18"/>
      <c r="F62" s="18"/>
      <c r="G62" s="18"/>
      <c r="H62" s="18"/>
      <c r="I62" s="18"/>
      <c r="J62" s="18"/>
      <c r="K62" s="16"/>
    </row>
    <row r="63" spans="3:12" x14ac:dyDescent="0.25">
      <c r="C63" s="50" t="s">
        <v>2</v>
      </c>
      <c r="D63" s="14"/>
      <c r="E63" s="14"/>
      <c r="F63" s="48">
        <f>F35</f>
        <v>28100</v>
      </c>
      <c r="G63" s="48">
        <f t="shared" ref="G63:J63" si="23">G35</f>
        <v>15000</v>
      </c>
      <c r="H63" s="48">
        <f t="shared" si="23"/>
        <v>8000</v>
      </c>
      <c r="I63" s="48">
        <f t="shared" si="23"/>
        <v>4000</v>
      </c>
      <c r="J63" s="49">
        <f t="shared" si="23"/>
        <v>0</v>
      </c>
      <c r="K63" s="22"/>
      <c r="L63" s="10">
        <f t="shared" ref="L63:L70" si="24">SUM(E63:J63)</f>
        <v>55100</v>
      </c>
    </row>
    <row r="64" spans="3:12" x14ac:dyDescent="0.25">
      <c r="C64" s="51"/>
      <c r="D64" s="16"/>
      <c r="E64" s="16"/>
      <c r="F64" s="22"/>
      <c r="G64" s="16"/>
      <c r="H64" s="16"/>
      <c r="I64" s="16"/>
      <c r="J64" s="17"/>
      <c r="K64" s="16"/>
      <c r="L64" s="10">
        <f t="shared" si="24"/>
        <v>0</v>
      </c>
    </row>
    <row r="65" spans="2:12" x14ac:dyDescent="0.25">
      <c r="C65" s="52" t="s">
        <v>8</v>
      </c>
      <c r="D65" s="16"/>
      <c r="E65" s="16"/>
      <c r="F65" s="16">
        <f>F41+F42+F43+E36+F36</f>
        <v>-13403.01996370236</v>
      </c>
      <c r="G65" s="16">
        <f>G41+G42+G43+G36</f>
        <v>4946.4555353901997</v>
      </c>
      <c r="H65" s="16">
        <f t="shared" ref="H65:J65" si="25">H41+H42+H43+H36</f>
        <v>-2505.2903811252268</v>
      </c>
      <c r="I65" s="16">
        <f>I41+I42+I43+I36</f>
        <v>2865.8548094373864</v>
      </c>
      <c r="J65" s="17">
        <f t="shared" si="25"/>
        <v>396</v>
      </c>
      <c r="K65" s="16"/>
      <c r="L65" s="10">
        <f t="shared" si="24"/>
        <v>-7700.0000000000009</v>
      </c>
    </row>
    <row r="66" spans="2:12" x14ac:dyDescent="0.25">
      <c r="C66" s="53" t="s">
        <v>9</v>
      </c>
      <c r="D66" s="16"/>
      <c r="E66" s="16"/>
      <c r="F66" s="16">
        <f>F46+F47</f>
        <v>-17826</v>
      </c>
      <c r="G66" s="16">
        <f>G46+G47</f>
        <v>-18632</v>
      </c>
      <c r="H66" s="16">
        <f t="shared" ref="H66:J66" si="26">H46+H47</f>
        <v>-10587</v>
      </c>
      <c r="I66" s="16">
        <f t="shared" si="26"/>
        <v>-6965</v>
      </c>
      <c r="J66" s="17">
        <f t="shared" si="26"/>
        <v>0</v>
      </c>
      <c r="K66" s="16"/>
      <c r="L66" s="10">
        <f t="shared" si="24"/>
        <v>-54010</v>
      </c>
    </row>
    <row r="67" spans="2:12" x14ac:dyDescent="0.25">
      <c r="C67" s="52" t="s">
        <v>3</v>
      </c>
      <c r="D67" s="16"/>
      <c r="E67" s="16"/>
      <c r="F67" s="16">
        <f>-(E18+E19)</f>
        <v>-2755</v>
      </c>
      <c r="G67" s="16">
        <f>-G18</f>
        <v>0</v>
      </c>
      <c r="H67" s="16">
        <f t="shared" ref="H67:J67" si="27">-H18</f>
        <v>0</v>
      </c>
      <c r="I67" s="16">
        <f t="shared" si="27"/>
        <v>0</v>
      </c>
      <c r="J67" s="17">
        <f t="shared" si="27"/>
        <v>0</v>
      </c>
      <c r="K67" s="16"/>
      <c r="L67" s="10">
        <f t="shared" si="24"/>
        <v>-2755</v>
      </c>
    </row>
    <row r="68" spans="2:12" ht="27.6" x14ac:dyDescent="0.25">
      <c r="C68" s="54" t="s">
        <v>10</v>
      </c>
      <c r="D68" s="16"/>
      <c r="E68" s="16"/>
      <c r="F68" s="22">
        <f>SUM(F65:F67)</f>
        <v>-33984.019963702362</v>
      </c>
      <c r="G68" s="22">
        <f t="shared" ref="G68:J68" si="28">SUM(G65:G67)</f>
        <v>-13685.5444646098</v>
      </c>
      <c r="H68" s="22">
        <f t="shared" si="28"/>
        <v>-13092.290381125227</v>
      </c>
      <c r="I68" s="22">
        <f t="shared" si="28"/>
        <v>-4099.1451905626136</v>
      </c>
      <c r="J68" s="23">
        <f t="shared" si="28"/>
        <v>396</v>
      </c>
      <c r="K68" s="22"/>
      <c r="L68" s="10">
        <f t="shared" si="24"/>
        <v>-64465.000000000007</v>
      </c>
    </row>
    <row r="69" spans="2:12" x14ac:dyDescent="0.25">
      <c r="C69" s="55"/>
      <c r="D69" s="16"/>
      <c r="E69" s="16"/>
      <c r="F69" s="16"/>
      <c r="G69" s="16"/>
      <c r="H69" s="16"/>
      <c r="I69" s="16"/>
      <c r="J69" s="17"/>
      <c r="K69" s="16"/>
      <c r="L69" s="10">
        <f t="shared" si="24"/>
        <v>0</v>
      </c>
    </row>
    <row r="70" spans="2:12" ht="27.6" x14ac:dyDescent="0.25">
      <c r="C70" s="38" t="s">
        <v>103</v>
      </c>
      <c r="D70" s="18"/>
      <c r="E70" s="18"/>
      <c r="F70" s="24">
        <f>F63+F68</f>
        <v>-5884.0199637023616</v>
      </c>
      <c r="G70" s="24">
        <f t="shared" ref="G70:J70" si="29">G63+G68</f>
        <v>1314.4555353901997</v>
      </c>
      <c r="H70" s="24">
        <f t="shared" si="29"/>
        <v>-5092.2903811252272</v>
      </c>
      <c r="I70" s="24">
        <f t="shared" si="29"/>
        <v>-99.145190562613607</v>
      </c>
      <c r="J70" s="25">
        <f t="shared" si="29"/>
        <v>396</v>
      </c>
      <c r="K70" s="22"/>
      <c r="L70" s="98">
        <f t="shared" si="24"/>
        <v>-9365.0000000000036</v>
      </c>
    </row>
    <row r="72" spans="2:12" x14ac:dyDescent="0.25">
      <c r="B72" s="11"/>
    </row>
    <row r="73" spans="2:12" x14ac:dyDescent="0.25">
      <c r="B73" s="11"/>
    </row>
    <row r="74" spans="2:12" x14ac:dyDescent="0.25">
      <c r="B74" s="11"/>
    </row>
    <row r="76" spans="2:12" x14ac:dyDescent="0.25">
      <c r="C76" s="21" t="s">
        <v>44</v>
      </c>
      <c r="D76" s="21"/>
      <c r="E76" s="21" t="s">
        <v>46</v>
      </c>
      <c r="F76" s="21" t="s">
        <v>47</v>
      </c>
      <c r="G76" s="21" t="s">
        <v>1</v>
      </c>
    </row>
    <row r="77" spans="2:12" x14ac:dyDescent="0.25">
      <c r="C77" s="26"/>
      <c r="E77" s="26"/>
    </row>
    <row r="78" spans="2:12" x14ac:dyDescent="0.25">
      <c r="C78" s="57" t="s">
        <v>111</v>
      </c>
      <c r="D78" s="14"/>
      <c r="E78" s="14"/>
      <c r="F78" s="14"/>
      <c r="G78" s="15"/>
    </row>
    <row r="79" spans="2:12" x14ac:dyDescent="0.25">
      <c r="C79" s="57" t="s">
        <v>45</v>
      </c>
      <c r="D79" s="14"/>
      <c r="E79" s="14"/>
      <c r="F79" s="14"/>
      <c r="G79" s="15"/>
    </row>
    <row r="80" spans="2:12" x14ac:dyDescent="0.25">
      <c r="C80" s="33" t="s">
        <v>55</v>
      </c>
      <c r="D80" s="16"/>
      <c r="E80" s="16" t="s">
        <v>51</v>
      </c>
      <c r="F80" s="16" t="s">
        <v>57</v>
      </c>
      <c r="G80" s="17">
        <f>E17</f>
        <v>55100</v>
      </c>
    </row>
    <row r="81" spans="2:11" ht="27.6" x14ac:dyDescent="0.25">
      <c r="C81" s="71" t="s">
        <v>95</v>
      </c>
      <c r="D81" s="16"/>
      <c r="E81" s="16" t="s">
        <v>59</v>
      </c>
      <c r="F81" s="16" t="s">
        <v>51</v>
      </c>
      <c r="G81" s="17">
        <f>E18</f>
        <v>2755</v>
      </c>
    </row>
    <row r="82" spans="2:11" x14ac:dyDescent="0.25">
      <c r="C82" s="71" t="s">
        <v>107</v>
      </c>
      <c r="D82" s="16"/>
      <c r="E82" s="16" t="s">
        <v>59</v>
      </c>
      <c r="F82" s="16" t="s">
        <v>109</v>
      </c>
      <c r="G82" s="17">
        <f>-E36</f>
        <v>9365</v>
      </c>
    </row>
    <row r="83" spans="2:11" x14ac:dyDescent="0.25">
      <c r="C83" s="57" t="s">
        <v>111</v>
      </c>
      <c r="D83" s="14"/>
      <c r="E83" s="14"/>
      <c r="F83" s="14"/>
      <c r="G83" s="15"/>
    </row>
    <row r="84" spans="2:11" x14ac:dyDescent="0.25">
      <c r="B84" s="28"/>
      <c r="C84" s="33" t="s">
        <v>60</v>
      </c>
      <c r="D84" s="16"/>
      <c r="E84" s="16" t="s">
        <v>57</v>
      </c>
      <c r="F84" s="16" t="s">
        <v>61</v>
      </c>
      <c r="G84" s="17">
        <f>F53</f>
        <v>28100</v>
      </c>
    </row>
    <row r="85" spans="2:11" ht="27.6" x14ac:dyDescent="0.25">
      <c r="B85" s="28"/>
      <c r="C85" s="71" t="s">
        <v>108</v>
      </c>
      <c r="D85" s="16"/>
      <c r="E85" s="16" t="s">
        <v>109</v>
      </c>
      <c r="F85" s="16" t="s">
        <v>59</v>
      </c>
      <c r="G85" s="17">
        <f>F28</f>
        <v>4775.9800362976403</v>
      </c>
    </row>
    <row r="86" spans="2:11" ht="27.6" x14ac:dyDescent="0.25">
      <c r="C86" s="71" t="s">
        <v>62</v>
      </c>
      <c r="D86" s="16"/>
      <c r="E86" s="16" t="s">
        <v>59</v>
      </c>
      <c r="F86" s="44" t="s">
        <v>110</v>
      </c>
      <c r="G86" s="17">
        <f>-(F41+F42)</f>
        <v>8814</v>
      </c>
    </row>
    <row r="87" spans="2:11" ht="41.4" x14ac:dyDescent="0.25">
      <c r="C87" s="33" t="s">
        <v>75</v>
      </c>
      <c r="D87" s="16"/>
      <c r="E87" s="16" t="s">
        <v>59</v>
      </c>
      <c r="F87" s="44" t="s">
        <v>69</v>
      </c>
      <c r="G87" s="17">
        <f>-F46</f>
        <v>2800</v>
      </c>
    </row>
    <row r="88" spans="2:11" x14ac:dyDescent="0.25">
      <c r="C88" s="33" t="s">
        <v>65</v>
      </c>
      <c r="D88" s="16"/>
      <c r="E88" s="16" t="s">
        <v>59</v>
      </c>
      <c r="F88" s="44" t="s">
        <v>66</v>
      </c>
      <c r="G88" s="108">
        <f>-F47</f>
        <v>15026</v>
      </c>
    </row>
    <row r="89" spans="2:11" ht="27.6" x14ac:dyDescent="0.25">
      <c r="C89" s="33" t="s">
        <v>65</v>
      </c>
      <c r="D89" s="16"/>
      <c r="E89" s="16" t="s">
        <v>59</v>
      </c>
      <c r="F89" s="62" t="s">
        <v>67</v>
      </c>
      <c r="G89" s="108"/>
    </row>
    <row r="90" spans="2:11" x14ac:dyDescent="0.25">
      <c r="C90" s="33" t="s">
        <v>65</v>
      </c>
      <c r="D90" s="16"/>
      <c r="E90" s="16" t="s">
        <v>59</v>
      </c>
      <c r="F90" s="62" t="s">
        <v>99</v>
      </c>
      <c r="G90" s="108"/>
    </row>
    <row r="91" spans="2:11" ht="27.6" x14ac:dyDescent="0.25">
      <c r="C91" s="33" t="s">
        <v>65</v>
      </c>
      <c r="D91" s="16"/>
      <c r="E91" s="16" t="s">
        <v>59</v>
      </c>
      <c r="F91" s="62" t="s">
        <v>68</v>
      </c>
      <c r="G91" s="108"/>
    </row>
    <row r="92" spans="2:11" x14ac:dyDescent="0.25">
      <c r="C92" s="60" t="s">
        <v>71</v>
      </c>
      <c r="D92" s="18"/>
      <c r="E92" s="18" t="s">
        <v>72</v>
      </c>
      <c r="F92" s="63" t="s">
        <v>51</v>
      </c>
      <c r="G92" s="64">
        <f>G87+G88</f>
        <v>17826</v>
      </c>
      <c r="H92" s="29"/>
      <c r="I92" s="29"/>
      <c r="J92" s="29"/>
      <c r="K92" s="29"/>
    </row>
    <row r="93" spans="2:11" x14ac:dyDescent="0.25">
      <c r="F93" s="29"/>
      <c r="G93" s="29"/>
      <c r="H93" s="29"/>
      <c r="I93" s="29"/>
      <c r="J93" s="29"/>
      <c r="K93" s="29"/>
    </row>
    <row r="94" spans="2:11" x14ac:dyDescent="0.25">
      <c r="C94" s="57" t="s">
        <v>112</v>
      </c>
      <c r="D94" s="14"/>
      <c r="E94" s="14"/>
      <c r="F94" s="14"/>
      <c r="G94" s="15"/>
    </row>
    <row r="95" spans="2:11" x14ac:dyDescent="0.25">
      <c r="C95" s="33" t="s">
        <v>60</v>
      </c>
      <c r="D95" s="16"/>
      <c r="E95" s="16" t="s">
        <v>57</v>
      </c>
      <c r="F95" s="16" t="s">
        <v>61</v>
      </c>
      <c r="G95" s="17">
        <f>G35</f>
        <v>15000</v>
      </c>
    </row>
    <row r="96" spans="2:11" ht="27.6" x14ac:dyDescent="0.25">
      <c r="C96" s="71" t="s">
        <v>108</v>
      </c>
      <c r="D96" s="16"/>
      <c r="E96" s="16" t="s">
        <v>109</v>
      </c>
      <c r="F96" s="16" t="s">
        <v>59</v>
      </c>
      <c r="G96" s="17">
        <f>G28</f>
        <v>2549.4555353901992</v>
      </c>
    </row>
    <row r="97" spans="2:11" ht="28.8" customHeight="1" x14ac:dyDescent="0.25">
      <c r="C97" s="109" t="s">
        <v>74</v>
      </c>
      <c r="D97" s="16"/>
      <c r="E97" s="44" t="s">
        <v>70</v>
      </c>
      <c r="F97" s="16" t="s">
        <v>59</v>
      </c>
      <c r="G97" s="17">
        <f>G86</f>
        <v>8814</v>
      </c>
    </row>
    <row r="98" spans="2:11" ht="27" customHeight="1" x14ac:dyDescent="0.25">
      <c r="C98" s="109"/>
      <c r="D98" s="16"/>
      <c r="E98" s="16" t="s">
        <v>59</v>
      </c>
      <c r="F98" s="44" t="s">
        <v>70</v>
      </c>
      <c r="G98" s="17">
        <f>G23+G24</f>
        <v>1017</v>
      </c>
    </row>
    <row r="99" spans="2:11" ht="27.6" x14ac:dyDescent="0.25">
      <c r="C99" s="33" t="s">
        <v>63</v>
      </c>
      <c r="D99" s="16"/>
      <c r="E99" s="16" t="s">
        <v>59</v>
      </c>
      <c r="F99" s="44" t="s">
        <v>64</v>
      </c>
      <c r="G99" s="17">
        <f>-G43</f>
        <v>5400</v>
      </c>
    </row>
    <row r="100" spans="2:11" ht="41.4" x14ac:dyDescent="0.25">
      <c r="C100" s="33" t="s">
        <v>75</v>
      </c>
      <c r="D100" s="16"/>
      <c r="E100" s="16" t="s">
        <v>59</v>
      </c>
      <c r="F100" s="44" t="s">
        <v>69</v>
      </c>
      <c r="G100" s="17">
        <f>-G46</f>
        <v>7000</v>
      </c>
    </row>
    <row r="101" spans="2:11" x14ac:dyDescent="0.25">
      <c r="C101" s="33" t="s">
        <v>65</v>
      </c>
      <c r="D101" s="16"/>
      <c r="E101" s="16" t="s">
        <v>59</v>
      </c>
      <c r="F101" s="44" t="s">
        <v>66</v>
      </c>
      <c r="G101" s="108">
        <f>-G47</f>
        <v>11632</v>
      </c>
    </row>
    <row r="102" spans="2:11" ht="27.6" x14ac:dyDescent="0.25">
      <c r="B102" s="21"/>
      <c r="C102" s="33" t="s">
        <v>65</v>
      </c>
      <c r="D102" s="22"/>
      <c r="E102" s="16" t="s">
        <v>59</v>
      </c>
      <c r="F102" s="62" t="s">
        <v>67</v>
      </c>
      <c r="G102" s="108"/>
      <c r="H102" s="21"/>
      <c r="I102" s="21"/>
      <c r="J102" s="21"/>
      <c r="K102" s="21"/>
    </row>
    <row r="103" spans="2:11" ht="27.6" x14ac:dyDescent="0.25">
      <c r="C103" s="33" t="s">
        <v>65</v>
      </c>
      <c r="D103" s="16"/>
      <c r="E103" s="16" t="s">
        <v>59</v>
      </c>
      <c r="F103" s="62" t="s">
        <v>68</v>
      </c>
      <c r="G103" s="108"/>
    </row>
    <row r="104" spans="2:11" x14ac:dyDescent="0.25">
      <c r="C104" s="60" t="s">
        <v>71</v>
      </c>
      <c r="D104" s="18"/>
      <c r="E104" s="18" t="s">
        <v>72</v>
      </c>
      <c r="F104" s="63" t="s">
        <v>51</v>
      </c>
      <c r="G104" s="19">
        <f>G99+G100+G101</f>
        <v>24032</v>
      </c>
    </row>
    <row r="109" spans="2:11" x14ac:dyDescent="0.25">
      <c r="B109" s="21"/>
      <c r="C109" s="21"/>
      <c r="D109" s="21"/>
      <c r="E109" s="21"/>
      <c r="F109" s="21"/>
      <c r="G109" s="21"/>
      <c r="H109" s="21"/>
      <c r="I109" s="21"/>
      <c r="J109" s="21"/>
      <c r="K109" s="21"/>
    </row>
    <row r="110" spans="2:11" x14ac:dyDescent="0.25">
      <c r="C110" s="20"/>
    </row>
    <row r="111" spans="2:11" x14ac:dyDescent="0.25">
      <c r="C111" s="20"/>
    </row>
    <row r="112" spans="2:11" x14ac:dyDescent="0.25">
      <c r="C112" s="20"/>
    </row>
    <row r="113" spans="3:3" x14ac:dyDescent="0.25">
      <c r="C113" s="20"/>
    </row>
  </sheetData>
  <mergeCells count="3">
    <mergeCell ref="G88:G91"/>
    <mergeCell ref="C97:C98"/>
    <mergeCell ref="G101:G103"/>
  </mergeCells>
  <pageMargins left="0.7" right="0.7" top="0.75" bottom="0.75" header="0.3" footer="0.3"/>
  <pageSetup paperSize="9" orientation="portrait" horizontalDpi="4294967293"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6"/>
  <sheetViews>
    <sheetView workbookViewId="0">
      <selection activeCell="F22" sqref="F22"/>
    </sheetView>
  </sheetViews>
  <sheetFormatPr defaultRowHeight="14.4" x14ac:dyDescent="0.3"/>
  <cols>
    <col min="2" max="2" width="82.21875" customWidth="1"/>
    <col min="3" max="3" width="13.88671875" customWidth="1"/>
    <col min="4" max="4" width="14.6640625" customWidth="1"/>
    <col min="5" max="5" width="14" customWidth="1"/>
    <col min="6" max="6" width="20.21875" customWidth="1"/>
    <col min="8" max="8" width="12.33203125" customWidth="1"/>
  </cols>
  <sheetData>
    <row r="1" spans="2:9" ht="15" thickBot="1" x14ac:dyDescent="0.35"/>
    <row r="2" spans="2:9" ht="43.8" thickBot="1" x14ac:dyDescent="0.35">
      <c r="B2" s="96" t="s">
        <v>129</v>
      </c>
      <c r="C2" s="72" t="s">
        <v>113</v>
      </c>
      <c r="D2" s="72" t="s">
        <v>114</v>
      </c>
      <c r="E2" s="72" t="s">
        <v>115</v>
      </c>
      <c r="F2" s="72" t="s">
        <v>116</v>
      </c>
    </row>
    <row r="3" spans="2:9" ht="15.6" thickTop="1" thickBot="1" x14ac:dyDescent="0.35">
      <c r="B3" s="73" t="s">
        <v>117</v>
      </c>
      <c r="C3" s="79">
        <f>'Зелена картка_прибуткові'!J34+'Зелена картка_обтяжливі'!G31-('Зелена картка_обтяжливі'!E36+'Зелена картка_обтяжливі'!F36)</f>
        <v>-39000</v>
      </c>
      <c r="D3" s="79">
        <f>'Зелена картка_обтяжливі'!E36+'Зелена картка_обтяжливі'!F36</f>
        <v>-4589.0199637023597</v>
      </c>
      <c r="E3" s="79">
        <f>'Зелена картка_прибуткові'!J42+'Зелена картка_обтяжливі'!G40</f>
        <v>-10170</v>
      </c>
      <c r="F3" s="79">
        <f>SUM(C3:E3)</f>
        <v>-53759.019963702362</v>
      </c>
      <c r="H3" s="87"/>
      <c r="I3" s="87"/>
    </row>
    <row r="4" spans="2:9" ht="15" thickBot="1" x14ac:dyDescent="0.35">
      <c r="B4" s="74" t="s">
        <v>2</v>
      </c>
      <c r="C4" s="81">
        <f>'Зелена картка_прибуткові'!J65+'Зелена картка_прибуткові'!K65+'Зелена картка_обтяжливі'!G63+'Зелена картка_обтяжливі'!H63+'Зелена картка_обтяжливі'!I63</f>
        <v>39000</v>
      </c>
      <c r="D4" s="82"/>
      <c r="E4" s="82"/>
      <c r="F4" s="82">
        <f t="shared" ref="F4:F15" si="0">SUM(C4:E4)</f>
        <v>39000</v>
      </c>
    </row>
    <row r="5" spans="2:9" ht="15" thickBot="1" x14ac:dyDescent="0.35">
      <c r="B5" s="75" t="s">
        <v>118</v>
      </c>
      <c r="C5" s="95">
        <f>SUM(C6:C9)</f>
        <v>0</v>
      </c>
      <c r="D5" s="95">
        <f t="shared" ref="D5:E5" si="1">SUM(D6:D9)</f>
        <v>4589.0199637023588</v>
      </c>
      <c r="E5" s="95">
        <f t="shared" si="1"/>
        <v>-67331</v>
      </c>
      <c r="F5" s="99">
        <f t="shared" si="0"/>
        <v>-62741.980036297638</v>
      </c>
    </row>
    <row r="6" spans="2:9" ht="15" thickBot="1" x14ac:dyDescent="0.35">
      <c r="B6" s="76" t="s">
        <v>119</v>
      </c>
      <c r="C6" s="88"/>
      <c r="D6" s="89"/>
      <c r="E6" s="88">
        <f>SUM('Зелена картка_прибуткові'!J67:M68)-'Зелена картка_прибуткові'!K58-'Зелена картка_прибуткові'!L58+SUM('Зелена картка_обтяжливі'!G41:J43)+SUM('Зелена картка_обтяжливі'!G46:J47)-'Зелена картка_обтяжливі'!G44</f>
        <v>-57731</v>
      </c>
      <c r="F6" s="90">
        <f t="shared" si="0"/>
        <v>-57731</v>
      </c>
      <c r="H6" s="87"/>
      <c r="I6" s="87"/>
    </row>
    <row r="7" spans="2:9" ht="15" thickBot="1" x14ac:dyDescent="0.35">
      <c r="B7" s="77" t="s">
        <v>3</v>
      </c>
      <c r="C7" s="91"/>
      <c r="D7" s="91"/>
      <c r="E7" s="91"/>
      <c r="F7" s="91">
        <f t="shared" si="0"/>
        <v>0</v>
      </c>
    </row>
    <row r="8" spans="2:9" ht="15" thickBot="1" x14ac:dyDescent="0.35">
      <c r="B8" s="76" t="s">
        <v>120</v>
      </c>
      <c r="C8" s="88"/>
      <c r="D8" s="92"/>
      <c r="E8" s="88">
        <f>'Зелена картка_прибуткові'!K58+'Зелена картка_прибуткові'!L58+'Зелена картка_обтяжливі'!G44</f>
        <v>-9600</v>
      </c>
      <c r="F8" s="92">
        <f t="shared" si="0"/>
        <v>-9600</v>
      </c>
      <c r="H8" s="87"/>
      <c r="I8" s="87"/>
    </row>
    <row r="9" spans="2:9" ht="29.4" thickBot="1" x14ac:dyDescent="0.35">
      <c r="B9" s="77" t="s">
        <v>121</v>
      </c>
      <c r="C9" s="91"/>
      <c r="D9" s="93">
        <f>'Зелена картка_обтяжливі'!G36+'Зелена картка_обтяжливі'!H36+'Зелена картка_обтяжливі'!I36</f>
        <v>4589.0199637023588</v>
      </c>
      <c r="E9" s="91"/>
      <c r="F9" s="94">
        <f t="shared" si="0"/>
        <v>4589.0199637023588</v>
      </c>
    </row>
    <row r="10" spans="2:9" ht="15" thickBot="1" x14ac:dyDescent="0.35">
      <c r="B10" s="74" t="s">
        <v>122</v>
      </c>
      <c r="C10" s="82"/>
      <c r="D10" s="82"/>
      <c r="E10" s="82"/>
      <c r="F10" s="82">
        <f t="shared" si="0"/>
        <v>0</v>
      </c>
    </row>
    <row r="11" spans="2:9" ht="15" thickBot="1" x14ac:dyDescent="0.35">
      <c r="B11" s="75" t="s">
        <v>123</v>
      </c>
      <c r="C11" s="83">
        <f>SUM(C12:C14)</f>
        <v>0</v>
      </c>
      <c r="D11" s="83">
        <f t="shared" ref="D11:E11" si="2">SUM(D12:D14)</f>
        <v>0</v>
      </c>
      <c r="E11" s="83">
        <f t="shared" si="2"/>
        <v>77501</v>
      </c>
      <c r="F11" s="83">
        <f t="shared" si="0"/>
        <v>77501</v>
      </c>
    </row>
    <row r="12" spans="2:9" ht="15" thickBot="1" x14ac:dyDescent="0.35">
      <c r="B12" s="76" t="s">
        <v>124</v>
      </c>
      <c r="C12" s="82"/>
      <c r="D12" s="82"/>
      <c r="E12" s="82"/>
      <c r="F12" s="92">
        <f t="shared" si="0"/>
        <v>0</v>
      </c>
    </row>
    <row r="13" spans="2:9" ht="15" thickBot="1" x14ac:dyDescent="0.35">
      <c r="B13" s="77" t="s">
        <v>125</v>
      </c>
      <c r="C13" s="86"/>
      <c r="D13" s="86"/>
      <c r="E13" s="86"/>
      <c r="F13" s="91">
        <f t="shared" si="0"/>
        <v>0</v>
      </c>
    </row>
    <row r="14" spans="2:9" ht="15" thickBot="1" x14ac:dyDescent="0.35">
      <c r="B14" s="76" t="s">
        <v>126</v>
      </c>
      <c r="C14" s="84"/>
      <c r="D14" s="82"/>
      <c r="E14" s="85">
        <f>SUM('Зелена картка_прибуткові'!J61:M61)+SUM('Зелена картка_обтяжливі'!G48:J48)</f>
        <v>77501</v>
      </c>
      <c r="F14" s="90">
        <f t="shared" si="0"/>
        <v>77501</v>
      </c>
      <c r="H14" s="87"/>
      <c r="I14" s="87"/>
    </row>
    <row r="15" spans="2:9" ht="15" thickBot="1" x14ac:dyDescent="0.35">
      <c r="B15" s="75" t="s">
        <v>127</v>
      </c>
      <c r="C15" s="83"/>
      <c r="D15" s="83"/>
      <c r="E15" s="86"/>
      <c r="F15" s="86">
        <f t="shared" si="0"/>
        <v>0</v>
      </c>
    </row>
    <row r="16" spans="2:9" ht="15.6" thickTop="1" thickBot="1" x14ac:dyDescent="0.35">
      <c r="B16" s="78" t="s">
        <v>128</v>
      </c>
      <c r="C16" s="80">
        <f>C3+C4+C7+C9-C12+C13</f>
        <v>0</v>
      </c>
      <c r="D16" s="80">
        <f>D3+D9</f>
        <v>0</v>
      </c>
      <c r="E16" s="80">
        <f>E3+E6+E7+E8+E14</f>
        <v>0</v>
      </c>
      <c r="F16" s="79">
        <f>SUM(C16:E16)</f>
        <v>0</v>
      </c>
      <c r="H16" s="87"/>
      <c r="I16" s="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vt:i4>
      </vt:variant>
    </vt:vector>
  </HeadingPairs>
  <TitlesOfParts>
    <vt:vector size="6" baseType="lpstr">
      <vt:lpstr>Read me</vt:lpstr>
      <vt:lpstr>ОСЦПВ</vt:lpstr>
      <vt:lpstr>Зелена картка_прибуткові</vt:lpstr>
      <vt:lpstr>Зелена картка_обтяжливі</vt:lpstr>
      <vt:lpstr>Узгодження</vt:lpstr>
      <vt:lpstr>'Read me'!Область_друку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Andrii.Andrusiv@bank.gov.ua</dc:creator>
  <cp:lastModifiedBy>Сіухіна Катерина Миколаївна</cp:lastModifiedBy>
  <cp:lastPrinted>2019-10-30T13:32:01Z</cp:lastPrinted>
  <dcterms:created xsi:type="dcterms:W3CDTF">2017-10-24T17:27:01Z</dcterms:created>
  <dcterms:modified xsi:type="dcterms:W3CDTF">2022-10-07T11:53:57Z</dcterms:modified>
</cp:coreProperties>
</file>